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zachthomas/Downloads/"/>
    </mc:Choice>
  </mc:AlternateContent>
  <xr:revisionPtr revIDLastSave="0" documentId="13_ncr:1_{12D4B718-4348-7649-A94A-97FD6974D3F5}" xr6:coauthVersionLast="47" xr6:coauthVersionMax="47" xr10:uidLastSave="{00000000-0000-0000-0000-000000000000}"/>
  <bookViews>
    <workbookView xWindow="0" yWindow="0" windowWidth="28800" windowHeight="18000" tabRatio="500" xr2:uid="{00000000-000D-0000-FFFF-FFFF00000000}"/>
  </bookViews>
  <sheets>
    <sheet name="Income Statement" sheetId="1" r:id="rId1"/>
    <sheet name="Balance Sheet" sheetId="2" r:id="rId2"/>
    <sheet name="Cash Flow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36" i="3" l="1"/>
  <c r="F33" i="3"/>
  <c r="E33" i="3"/>
  <c r="D33" i="3"/>
  <c r="B33" i="3"/>
  <c r="F31" i="3"/>
  <c r="E31" i="3"/>
  <c r="D31" i="3"/>
  <c r="C31" i="3"/>
  <c r="C33" i="3" s="1"/>
  <c r="F28" i="3"/>
  <c r="E28" i="3"/>
  <c r="B27" i="3"/>
  <c r="B28" i="3" s="1"/>
  <c r="F26" i="3"/>
  <c r="E26" i="3"/>
  <c r="D26" i="3"/>
  <c r="C26" i="3"/>
  <c r="F25" i="3"/>
  <c r="E25" i="3"/>
  <c r="D25" i="3"/>
  <c r="C25" i="3"/>
  <c r="F24" i="3"/>
  <c r="E24" i="3"/>
  <c r="D24" i="3"/>
  <c r="C24" i="3"/>
  <c r="F23" i="3"/>
  <c r="F27" i="3" s="1"/>
  <c r="E23" i="3"/>
  <c r="E27" i="3" s="1"/>
  <c r="D23" i="3"/>
  <c r="D27" i="3" s="1"/>
  <c r="D28" i="3" s="1"/>
  <c r="C23" i="3"/>
  <c r="C27" i="3" s="1"/>
  <c r="C28" i="3" s="1"/>
  <c r="B51" i="2"/>
  <c r="F31" i="2"/>
  <c r="F32" i="2" s="1"/>
  <c r="E31" i="2"/>
  <c r="E10" i="3" s="1"/>
  <c r="D31" i="2"/>
  <c r="D10" i="3" s="1"/>
  <c r="F30" i="2"/>
  <c r="E30" i="2"/>
  <c r="D30" i="2"/>
  <c r="C30" i="2"/>
  <c r="B30" i="2"/>
  <c r="F13" i="2"/>
  <c r="E13" i="2"/>
  <c r="D13" i="2"/>
  <c r="F95" i="1"/>
  <c r="E95" i="1"/>
  <c r="D95" i="1"/>
  <c r="C95" i="1"/>
  <c r="B95" i="1"/>
  <c r="F59" i="1"/>
  <c r="E59" i="1"/>
  <c r="F58" i="1"/>
  <c r="E58" i="1"/>
  <c r="F56" i="1"/>
  <c r="F60" i="1" s="1"/>
  <c r="F20" i="2" s="1"/>
  <c r="E56" i="1"/>
  <c r="E60" i="1" s="1"/>
  <c r="E20" i="2" s="1"/>
  <c r="F52" i="1"/>
  <c r="F50" i="1"/>
  <c r="F49" i="1"/>
  <c r="F47" i="1"/>
  <c r="F45" i="1"/>
  <c r="F41" i="1"/>
  <c r="F81" i="1" s="1"/>
  <c r="F39" i="1"/>
  <c r="F57" i="1" s="1"/>
  <c r="E39" i="1"/>
  <c r="E57" i="1" s="1"/>
  <c r="D39" i="1"/>
  <c r="C39" i="1"/>
  <c r="C13" i="2" s="1"/>
  <c r="B39" i="1"/>
  <c r="F32" i="1"/>
  <c r="F31" i="1"/>
  <c r="E31" i="1"/>
  <c r="D31" i="1"/>
  <c r="C31" i="1"/>
  <c r="B31" i="1"/>
  <c r="F25" i="1"/>
  <c r="E25" i="1"/>
  <c r="D25" i="1"/>
  <c r="C25" i="1"/>
  <c r="B25" i="1"/>
  <c r="F19" i="1"/>
  <c r="E19" i="1"/>
  <c r="D19" i="1"/>
  <c r="C19" i="1"/>
  <c r="B19" i="1"/>
  <c r="F13" i="1"/>
  <c r="E13" i="1"/>
  <c r="E32" i="1" s="1"/>
  <c r="D13" i="1"/>
  <c r="C13" i="1"/>
  <c r="B13" i="1"/>
  <c r="E53" i="1" l="1"/>
  <c r="E45" i="1"/>
  <c r="E12" i="2"/>
  <c r="E48" i="1"/>
  <c r="E51" i="1"/>
  <c r="E46" i="1"/>
  <c r="E50" i="1"/>
  <c r="E47" i="1"/>
  <c r="E40" i="2"/>
  <c r="E52" i="1"/>
  <c r="E49" i="1"/>
  <c r="E41" i="1"/>
  <c r="B56" i="1"/>
  <c r="B59" i="1"/>
  <c r="B13" i="2"/>
  <c r="B58" i="1"/>
  <c r="D59" i="1"/>
  <c r="D57" i="1"/>
  <c r="D56" i="1"/>
  <c r="F12" i="2"/>
  <c r="F48" i="1"/>
  <c r="F46" i="1"/>
  <c r="F54" i="1" s="1"/>
  <c r="F51" i="1"/>
  <c r="F40" i="2"/>
  <c r="F18" i="3" s="1"/>
  <c r="F79" i="1"/>
  <c r="F69" i="1"/>
  <c r="F82" i="1"/>
  <c r="F76" i="1"/>
  <c r="F80" i="1"/>
  <c r="F84" i="1"/>
  <c r="F75" i="1"/>
  <c r="C56" i="1"/>
  <c r="C59" i="1"/>
  <c r="F10" i="3"/>
  <c r="F53" i="1"/>
  <c r="F74" i="1"/>
  <c r="D32" i="1"/>
  <c r="C58" i="1"/>
  <c r="F70" i="1"/>
  <c r="C31" i="2"/>
  <c r="C10" i="3" s="1"/>
  <c r="C32" i="1"/>
  <c r="C57" i="1"/>
  <c r="B31" i="2"/>
  <c r="B10" i="3" s="1"/>
  <c r="B32" i="2"/>
  <c r="D58" i="1"/>
  <c r="F71" i="1"/>
  <c r="F83" i="1"/>
  <c r="D32" i="2"/>
  <c r="B32" i="1"/>
  <c r="B57" i="1"/>
  <c r="F68" i="1"/>
  <c r="F72" i="1" s="1"/>
  <c r="E32" i="2"/>
  <c r="F19" i="2" l="1"/>
  <c r="F18" i="2"/>
  <c r="F17" i="2"/>
  <c r="F21" i="2" s="1"/>
  <c r="F61" i="1"/>
  <c r="F86" i="1"/>
  <c r="D50" i="1"/>
  <c r="D12" i="2"/>
  <c r="D53" i="1"/>
  <c r="D45" i="1"/>
  <c r="D48" i="1"/>
  <c r="D49" i="1"/>
  <c r="D41" i="1"/>
  <c r="D46" i="1"/>
  <c r="D51" i="1"/>
  <c r="D52" i="1"/>
  <c r="D47" i="1"/>
  <c r="D40" i="2"/>
  <c r="F77" i="1"/>
  <c r="B60" i="1"/>
  <c r="B20" i="2" s="1"/>
  <c r="B52" i="1"/>
  <c r="B41" i="1"/>
  <c r="B50" i="1"/>
  <c r="B47" i="1"/>
  <c r="B40" i="2"/>
  <c r="B12" i="2"/>
  <c r="B45" i="1"/>
  <c r="B49" i="1"/>
  <c r="B51" i="1"/>
  <c r="B46" i="1"/>
  <c r="B53" i="1"/>
  <c r="B48" i="1"/>
  <c r="D60" i="1"/>
  <c r="D20" i="2" s="1"/>
  <c r="E84" i="1"/>
  <c r="E75" i="1"/>
  <c r="E79" i="1"/>
  <c r="E69" i="1"/>
  <c r="E82" i="1"/>
  <c r="E81" i="1"/>
  <c r="E71" i="1"/>
  <c r="E80" i="1"/>
  <c r="E70" i="1"/>
  <c r="E68" i="1"/>
  <c r="E83" i="1"/>
  <c r="E74" i="1"/>
  <c r="E76" i="1"/>
  <c r="E14" i="2"/>
  <c r="E15" i="2" s="1"/>
  <c r="C60" i="1"/>
  <c r="C20" i="2" s="1"/>
  <c r="E54" i="1"/>
  <c r="F14" i="2"/>
  <c r="F15" i="2" s="1"/>
  <c r="C47" i="1"/>
  <c r="C12" i="2"/>
  <c r="C50" i="1"/>
  <c r="C45" i="1"/>
  <c r="C54" i="1" s="1"/>
  <c r="C53" i="1"/>
  <c r="C52" i="1"/>
  <c r="C48" i="1"/>
  <c r="C49" i="1"/>
  <c r="C41" i="1"/>
  <c r="C51" i="1"/>
  <c r="C46" i="1"/>
  <c r="C40" i="2"/>
  <c r="C18" i="3" s="1"/>
  <c r="C32" i="2"/>
  <c r="F85" i="1"/>
  <c r="E18" i="3"/>
  <c r="F13" i="3" l="1"/>
  <c r="F23" i="2"/>
  <c r="F34" i="2" s="1"/>
  <c r="C68" i="1"/>
  <c r="C63" i="1"/>
  <c r="C79" i="1"/>
  <c r="C81" i="1"/>
  <c r="C71" i="1"/>
  <c r="C84" i="1"/>
  <c r="C75" i="1"/>
  <c r="C83" i="1"/>
  <c r="C74" i="1"/>
  <c r="C76" i="1"/>
  <c r="C70" i="1"/>
  <c r="C80" i="1"/>
  <c r="C82" i="1"/>
  <c r="C69" i="1"/>
  <c r="B83" i="1"/>
  <c r="B74" i="1"/>
  <c r="B81" i="1"/>
  <c r="B71" i="1"/>
  <c r="B68" i="1"/>
  <c r="B84" i="1"/>
  <c r="B80" i="1"/>
  <c r="B70" i="1"/>
  <c r="B76" i="1"/>
  <c r="B79" i="1"/>
  <c r="B75" i="1"/>
  <c r="B82" i="1"/>
  <c r="B69" i="1"/>
  <c r="C18" i="2"/>
  <c r="C17" i="2"/>
  <c r="C61" i="1"/>
  <c r="C38" i="2" s="1"/>
  <c r="C19" i="2"/>
  <c r="C14" i="2"/>
  <c r="C15" i="2"/>
  <c r="E77" i="1"/>
  <c r="E85" i="1"/>
  <c r="D81" i="1"/>
  <c r="D71" i="1"/>
  <c r="D84" i="1"/>
  <c r="D75" i="1"/>
  <c r="D79" i="1"/>
  <c r="D85" i="1" s="1"/>
  <c r="D69" i="1"/>
  <c r="D68" i="1"/>
  <c r="D83" i="1"/>
  <c r="D82" i="1"/>
  <c r="D80" i="1"/>
  <c r="D70" i="1"/>
  <c r="D74" i="1"/>
  <c r="D76" i="1"/>
  <c r="F38" i="2"/>
  <c r="F63" i="1"/>
  <c r="E72" i="1"/>
  <c r="E18" i="2"/>
  <c r="E19" i="2"/>
  <c r="E61" i="1"/>
  <c r="E17" i="2"/>
  <c r="E21" i="2" s="1"/>
  <c r="B54" i="1"/>
  <c r="D14" i="2"/>
  <c r="D15" i="2" s="1"/>
  <c r="F39" i="2"/>
  <c r="F22" i="2"/>
  <c r="B14" i="2"/>
  <c r="B15" i="2"/>
  <c r="D18" i="3"/>
  <c r="D54" i="1"/>
  <c r="D13" i="3" l="1"/>
  <c r="E13" i="3"/>
  <c r="F16" i="3"/>
  <c r="F42" i="2"/>
  <c r="F46" i="2" s="1"/>
  <c r="D77" i="1"/>
  <c r="B85" i="1"/>
  <c r="C21" i="2"/>
  <c r="B17" i="2"/>
  <c r="B61" i="1"/>
  <c r="B18" i="2"/>
  <c r="B19" i="2"/>
  <c r="B72" i="1"/>
  <c r="C85" i="1"/>
  <c r="C64" i="1"/>
  <c r="E38" i="2"/>
  <c r="E63" i="1"/>
  <c r="C77" i="1"/>
  <c r="D18" i="2"/>
  <c r="D17" i="2"/>
  <c r="D61" i="1"/>
  <c r="D19" i="2"/>
  <c r="C13" i="3"/>
  <c r="C72" i="1"/>
  <c r="C86" i="1" s="1"/>
  <c r="B77" i="1"/>
  <c r="E86" i="1"/>
  <c r="F88" i="1"/>
  <c r="F64" i="1"/>
  <c r="D72" i="1"/>
  <c r="D86" i="1" s="1"/>
  <c r="F14" i="3"/>
  <c r="F89" i="1" l="1"/>
  <c r="F97" i="1"/>
  <c r="B21" i="2"/>
  <c r="C39" i="2"/>
  <c r="C22" i="2"/>
  <c r="E88" i="1"/>
  <c r="E64" i="1"/>
  <c r="C14" i="3"/>
  <c r="D39" i="2"/>
  <c r="D22" i="2"/>
  <c r="B86" i="1"/>
  <c r="E39" i="2"/>
  <c r="E42" i="2" s="1"/>
  <c r="E46" i="2" s="1"/>
  <c r="E22" i="2"/>
  <c r="B38" i="2"/>
  <c r="B63" i="1"/>
  <c r="D38" i="2"/>
  <c r="D63" i="1"/>
  <c r="E16" i="3"/>
  <c r="D21" i="2"/>
  <c r="C88" i="1"/>
  <c r="C97" i="1" l="1"/>
  <c r="C89" i="1"/>
  <c r="C23" i="2"/>
  <c r="C34" i="2" s="1"/>
  <c r="B22" i="2"/>
  <c r="B23" i="2" s="1"/>
  <c r="B34" i="2" s="1"/>
  <c r="B39" i="2"/>
  <c r="C17" i="3" s="1"/>
  <c r="B88" i="1"/>
  <c r="B64" i="1"/>
  <c r="C16" i="3"/>
  <c r="E15" i="3"/>
  <c r="F15" i="3"/>
  <c r="E23" i="2"/>
  <c r="E34" i="2" s="1"/>
  <c r="D15" i="3"/>
  <c r="F101" i="1"/>
  <c r="F98" i="1"/>
  <c r="F99" i="1" s="1"/>
  <c r="E97" i="1"/>
  <c r="E89" i="1"/>
  <c r="D14" i="3"/>
  <c r="D23" i="2"/>
  <c r="D34" i="2" s="1"/>
  <c r="E14" i="3"/>
  <c r="E17" i="3"/>
  <c r="F17" i="3"/>
  <c r="C42" i="2"/>
  <c r="C46" i="2" s="1"/>
  <c r="D88" i="1"/>
  <c r="D64" i="1"/>
  <c r="D42" i="2"/>
  <c r="D46" i="2" s="1"/>
  <c r="D16" i="3"/>
  <c r="D17" i="3"/>
  <c r="B89" i="1" l="1"/>
  <c r="B97" i="1"/>
  <c r="D97" i="1"/>
  <c r="D89" i="1"/>
  <c r="C15" i="3"/>
  <c r="B42" i="2"/>
  <c r="B46" i="2" s="1"/>
  <c r="B53" i="2" s="1"/>
  <c r="B55" i="2" s="1"/>
  <c r="C98" i="1"/>
  <c r="C99" i="1" s="1"/>
  <c r="C101" i="1"/>
  <c r="F8" i="3"/>
  <c r="F19" i="3" s="1"/>
  <c r="F35" i="3" s="1"/>
  <c r="F102" i="1"/>
  <c r="E98" i="1"/>
  <c r="E99" i="1" s="1"/>
  <c r="D98" i="1" l="1"/>
  <c r="D99" i="1" s="1"/>
  <c r="D101" i="1"/>
  <c r="C50" i="2"/>
  <c r="C102" i="1"/>
  <c r="C8" i="3"/>
  <c r="C19" i="3" s="1"/>
  <c r="C35" i="3" s="1"/>
  <c r="B98" i="1"/>
  <c r="B99" i="1" s="1"/>
  <c r="B101" i="1"/>
  <c r="E101" i="1"/>
  <c r="E8" i="3" l="1"/>
  <c r="E19" i="3" s="1"/>
  <c r="E35" i="3" s="1"/>
  <c r="E102" i="1"/>
  <c r="B102" i="1"/>
  <c r="B8" i="3"/>
  <c r="B19" i="3" s="1"/>
  <c r="B35" i="3" s="1"/>
  <c r="B37" i="3" s="1"/>
  <c r="C51" i="2"/>
  <c r="C53" i="2" s="1"/>
  <c r="C55" i="2" s="1"/>
  <c r="D50" i="2"/>
  <c r="D8" i="3"/>
  <c r="D19" i="3" s="1"/>
  <c r="D35" i="3" s="1"/>
  <c r="D102" i="1"/>
  <c r="D51" i="2" l="1"/>
  <c r="D53" i="2" s="1"/>
  <c r="D55" i="2" s="1"/>
  <c r="E50" i="2"/>
  <c r="B39" i="3"/>
  <c r="C36" i="3"/>
  <c r="C37" i="3" s="1"/>
  <c r="C39" i="3" l="1"/>
  <c r="D36" i="3"/>
  <c r="D37" i="3" s="1"/>
  <c r="E51" i="2"/>
  <c r="E53" i="2" s="1"/>
  <c r="E55" i="2" s="1"/>
  <c r="F50" i="2"/>
  <c r="F51" i="2" s="1"/>
  <c r="F53" i="2" s="1"/>
  <c r="F55" i="2" s="1"/>
  <c r="E36" i="3" l="1"/>
  <c r="E37" i="3" s="1"/>
  <c r="D39" i="3"/>
  <c r="E39" i="3" l="1"/>
  <c r="F36" i="3"/>
  <c r="F37" i="3" s="1"/>
  <c r="F39" i="3" s="1"/>
</calcChain>
</file>

<file path=xl/sharedStrings.xml><?xml version="1.0" encoding="utf-8"?>
<sst xmlns="http://schemas.openxmlformats.org/spreadsheetml/2006/main" count="183" uniqueCount="157">
  <si>
    <t>APEX INDUSTRIAL EQUIPMENT CORP.</t>
  </si>
  <si>
    <t>Manufacturer of Construction &amp; Material Handling Equipment</t>
  </si>
  <si>
    <t>($ thousands)</t>
  </si>
  <si>
    <t>2023</t>
  </si>
  <si>
    <t>2024</t>
  </si>
  <si>
    <t>2025</t>
  </si>
  <si>
    <t>2026</t>
  </si>
  <si>
    <t>2027</t>
  </si>
  <si>
    <t>EQUIPMENT SALES</t>
  </si>
  <si>
    <t>North America</t>
  </si>
  <si>
    <t xml:space="preserve">  Excavators (5-40 ton)</t>
  </si>
  <si>
    <t xml:space="preserve">  Wheel Loaders (2-8 yard)</t>
  </si>
  <si>
    <t xml:space="preserve">  Forklifts (3-10 ton)</t>
  </si>
  <si>
    <t xml:space="preserve">  Compactors &amp; Pavers</t>
  </si>
  <si>
    <t>Total North America Equipment</t>
  </si>
  <si>
    <t>Europe</t>
  </si>
  <si>
    <t>Total Europe Equipment</t>
  </si>
  <si>
    <t>Asia Pacific</t>
  </si>
  <si>
    <t>Total Asia Pacific Equipment</t>
  </si>
  <si>
    <t>Rest of World</t>
  </si>
  <si>
    <t>Total Rest of World Equipment</t>
  </si>
  <si>
    <t>TOTAL EQUIPMENT SALES</t>
  </si>
  <si>
    <t>SERVICE &amp; PARTS</t>
  </si>
  <si>
    <t xml:space="preserve">  Replacement Parts &amp; Components</t>
  </si>
  <si>
    <t xml:space="preserve">  Extended Warranty Contracts</t>
  </si>
  <si>
    <t xml:space="preserve">  Field Service &amp; Repairs</t>
  </si>
  <si>
    <t xml:space="preserve">  Operator Training Programs</t>
  </si>
  <si>
    <t>TOTAL SERVICE &amp; PARTS</t>
  </si>
  <si>
    <t>TOTAL REVENUE</t>
  </si>
  <si>
    <t>COST OF GOODS SOLD</t>
  </si>
  <si>
    <t>Equipment Manufacturing Costs</t>
  </si>
  <si>
    <t xml:space="preserve">  Steel &amp; Raw Materials</t>
  </si>
  <si>
    <t xml:space="preserve">  Hydraulic Systems &amp; Cylinders</t>
  </si>
  <si>
    <t xml:space="preserve">  Diesel Engines &amp; Powertrains</t>
  </si>
  <si>
    <t xml:space="preserve">  Electronics &amp; Control Systems</t>
  </si>
  <si>
    <t xml:space="preserve">  Tires, Tracks &amp; Undercarriage</t>
  </si>
  <si>
    <t xml:space="preserve">  Cab Assembly &amp; Operator Stations</t>
  </si>
  <si>
    <t xml:space="preserve">  Direct Manufacturing Labor</t>
  </si>
  <si>
    <t xml:space="preserve">  Factory Overhead &amp; Utilities</t>
  </si>
  <si>
    <t xml:space="preserve">  Freight &amp; Logistics</t>
  </si>
  <si>
    <t>Total Equipment COGS</t>
  </si>
  <si>
    <t>Service &amp; Parts Costs</t>
  </si>
  <si>
    <t xml:space="preserve">  Parts Inventory &amp; Procurement</t>
  </si>
  <si>
    <t xml:space="preserve">  Field Technician Labor</t>
  </si>
  <si>
    <t xml:space="preserve">  Service Vehicle Fleet &amp; Tools</t>
  </si>
  <si>
    <t xml:space="preserve">  Warranty Claims &amp; Repairs</t>
  </si>
  <si>
    <t>Total Service &amp; Parts COGS</t>
  </si>
  <si>
    <t>TOTAL COST OF GOODS SOLD</t>
  </si>
  <si>
    <t>GROSS PROFIT</t>
  </si>
  <si>
    <t>Gross Margin %</t>
  </si>
  <si>
    <t>OPERATING EXPENSES</t>
  </si>
  <si>
    <t>Sales &amp; Marketing</t>
  </si>
  <si>
    <t xml:space="preserve">  Sales Team &amp; Commissions</t>
  </si>
  <si>
    <t xml:space="preserve">  Dealer Network Support</t>
  </si>
  <si>
    <t xml:space="preserve">  Trade Shows &amp; Demonstrations</t>
  </si>
  <si>
    <t xml:space="preserve">  Marketing &amp; Advertising</t>
  </si>
  <si>
    <t>Total Sales &amp; Marketing</t>
  </si>
  <si>
    <t>Product Development &amp; Engineering</t>
  </si>
  <si>
    <t xml:space="preserve">  R&amp;D Engineering Staff</t>
  </si>
  <si>
    <t xml:space="preserve">  Prototype Development &amp; Testing</t>
  </si>
  <si>
    <t xml:space="preserve">  Regulatory &amp; Safety Certifications</t>
  </si>
  <si>
    <t>Total Product Development</t>
  </si>
  <si>
    <t>General &amp; Administrative</t>
  </si>
  <si>
    <t xml:space="preserve">  Executive &amp; Corporate Staff</t>
  </si>
  <si>
    <t xml:space="preserve">  Finance &amp; Accounting</t>
  </si>
  <si>
    <t xml:space="preserve">  Information Technology</t>
  </si>
  <si>
    <t xml:space="preserve">  Facilities &amp; Real Estate</t>
  </si>
  <si>
    <t xml:space="preserve">  Legal &amp; Professional Fees</t>
  </si>
  <si>
    <t xml:space="preserve">  Insurance</t>
  </si>
  <si>
    <t>Total General &amp; Administrative</t>
  </si>
  <si>
    <t>TOTAL OPERATING EXPENSES</t>
  </si>
  <si>
    <t>OPERATING INCOME (EBIT)</t>
  </si>
  <si>
    <t>Operating Margin %</t>
  </si>
  <si>
    <t>OTHER INCOME (EXPENSE)</t>
  </si>
  <si>
    <t xml:space="preserve">  Interest Expense on Debt</t>
  </si>
  <si>
    <t xml:space="preserve">  Interest Income on Cash</t>
  </si>
  <si>
    <t xml:space="preserve">  Foreign Exchange Gain (Loss)</t>
  </si>
  <si>
    <t>Total Other Income (Expense)</t>
  </si>
  <si>
    <t>INCOME BEFORE TAX</t>
  </si>
  <si>
    <t>Income Tax Expense</t>
  </si>
  <si>
    <t>Effective Tax Rate %</t>
  </si>
  <si>
    <t>NET INCOME</t>
  </si>
  <si>
    <t>Net Margin %</t>
  </si>
  <si>
    <t>Balance Sheet</t>
  </si>
  <si>
    <t>ASSETS</t>
  </si>
  <si>
    <t>Current Assets</t>
  </si>
  <si>
    <t xml:space="preserve">  Cash &amp; Cash Equivalents</t>
  </si>
  <si>
    <t xml:space="preserve">  Short-Term Investments</t>
  </si>
  <si>
    <t>Accounts Receivable</t>
  </si>
  <si>
    <t xml:space="preserve">    Equipment Sales Receivables</t>
  </si>
  <si>
    <t xml:space="preserve">    Parts &amp; Service Receivables</t>
  </si>
  <si>
    <t xml:space="preserve">    Allowance for Doubtful Accounts</t>
  </si>
  <si>
    <t xml:space="preserve">  Accounts Receivable, net</t>
  </si>
  <si>
    <t>Inventory</t>
  </si>
  <si>
    <t xml:space="preserve">    Raw Materials (Steel, Components)</t>
  </si>
  <si>
    <t xml:space="preserve">    Work in Process (Assembly)</t>
  </si>
  <si>
    <t xml:space="preserve">    Finished Equipment</t>
  </si>
  <si>
    <t xml:space="preserve">    Service Parts Inventory</t>
  </si>
  <si>
    <t xml:space="preserve">  Total Inventory</t>
  </si>
  <si>
    <t xml:space="preserve">  Prepaid Expenses</t>
  </si>
  <si>
    <t>TOTAL CURRENT ASSETS</t>
  </si>
  <si>
    <t>Property, Plant &amp; Equipment</t>
  </si>
  <si>
    <t xml:space="preserve">  Manufacturing Facilities</t>
  </si>
  <si>
    <t xml:space="preserve">  Production Equipment &amp; Tooling</t>
  </si>
  <si>
    <t xml:space="preserve">  Service Centers &amp; Warehouses</t>
  </si>
  <si>
    <t xml:space="preserve">  Vehicles &amp; Mobile Equipment</t>
  </si>
  <si>
    <t xml:space="preserve">  Total PP&amp;E, Gross</t>
  </si>
  <si>
    <t xml:space="preserve">  Less: Accumulated Depreciation</t>
  </si>
  <si>
    <t>Net PP&amp;E</t>
  </si>
  <si>
    <t>Other Long-Term Assets</t>
  </si>
  <si>
    <t>TOTAL ASSETS</t>
  </si>
  <si>
    <t>LIABILITIES &amp; EQUITY</t>
  </si>
  <si>
    <t>Current Liabilities</t>
  </si>
  <si>
    <t xml:space="preserve">  Accounts Payable (Suppliers)</t>
  </si>
  <si>
    <t xml:space="preserve">  Accrued Payroll &amp; Benefits</t>
  </si>
  <si>
    <t xml:space="preserve">  Warranty Reserve - Current</t>
  </si>
  <si>
    <t xml:space="preserve">  Current Debt Payments</t>
  </si>
  <si>
    <t>TOTAL CURRENT LIABILITIES</t>
  </si>
  <si>
    <t>Long-Term Debt</t>
  </si>
  <si>
    <t>Other Long-Term Liabilities</t>
  </si>
  <si>
    <t>TOTAL LIABILITIES</t>
  </si>
  <si>
    <t>Shareholders Equity</t>
  </si>
  <si>
    <t xml:space="preserve">  Common Stock</t>
  </si>
  <si>
    <t xml:space="preserve">  Retained Earnings</t>
  </si>
  <si>
    <t>TOTAL EQUITY</t>
  </si>
  <si>
    <t>TOTAL LIABILITIES &amp; EQUITY</t>
  </si>
  <si>
    <t>Balance Check</t>
  </si>
  <si>
    <t>Statement of Cash Flows</t>
  </si>
  <si>
    <t>OPERATING ACTIVITIES</t>
  </si>
  <si>
    <t>Net Income</t>
  </si>
  <si>
    <t>Adjustments:</t>
  </si>
  <si>
    <t xml:space="preserve">  Depreciation &amp; Amortization</t>
  </si>
  <si>
    <t xml:space="preserve">  Warranty Expense</t>
  </si>
  <si>
    <t>Changes in Working Capital:</t>
  </si>
  <si>
    <t xml:space="preserve">  (Increase) Decrease in Receivables</t>
  </si>
  <si>
    <t xml:space="preserve">  (Increase) Decrease in Inventory</t>
  </si>
  <si>
    <t xml:space="preserve">  (Increase) Decrease in Prepaid</t>
  </si>
  <si>
    <t xml:space="preserve">  Increase (Decrease) in Payables</t>
  </si>
  <si>
    <t xml:space="preserve">  Increase (Decrease) in Accruals</t>
  </si>
  <si>
    <t xml:space="preserve">  Increase (Decrease) in Warranty Reserve</t>
  </si>
  <si>
    <t>NET CASH FROM OPERATIONS</t>
  </si>
  <si>
    <t>INVESTING ACTIVITIES</t>
  </si>
  <si>
    <t>Capital Expenditures:</t>
  </si>
  <si>
    <t xml:space="preserve">  Manufacturing Facilities CapEx</t>
  </si>
  <si>
    <t xml:space="preserve">  Production Equipment Purchases</t>
  </si>
  <si>
    <t xml:space="preserve">  Service Center Investments</t>
  </si>
  <si>
    <t xml:space="preserve">  Vehicle Fleet Additions</t>
  </si>
  <si>
    <t>Total CapEx</t>
  </si>
  <si>
    <t>NET CASH FROM INVESTING</t>
  </si>
  <si>
    <t>FINANCING ACTIVITIES</t>
  </si>
  <si>
    <t xml:space="preserve">  Debt Repayments</t>
  </si>
  <si>
    <t xml:space="preserve">  Dividends Paid</t>
  </si>
  <si>
    <t>NET CASH FROM FINANCING</t>
  </si>
  <si>
    <t>NET CHANGE IN CASH</t>
  </si>
  <si>
    <t>Cash at Beginning of Period</t>
  </si>
  <si>
    <t>CASH AT END OF PERIOD</t>
  </si>
  <si>
    <t>Cash Reconciliation Check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</si>
</sst>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;&quot;($&quot;#,##0\);\-"/>
  </numFmts>
  <fonts count="17" x14ac:knownFonts="1">
    <font>
      <sz val="11"/>
      <color theme="1"/>
      <name val="Calibri"/>
      <family val="2"/>
      <charset val="1"/>
    </font>
    <font>
      <sz val="10"/>
      <name val="Arial"/>
    </font>
    <font>
      <b/>
      <sz val="13"/>
      <color rgb="FFFFFFFF"/>
      <name val="Cambria"/>
      <charset val="1"/>
    </font>
    <font>
      <i/>
      <sz val="9"/>
      <name val="Cambria"/>
      <charset val="1"/>
    </font>
    <font>
      <b/>
      <sz val="11"/>
      <name val="Cambria"/>
      <charset val="1"/>
    </font>
    <font>
      <b/>
      <sz val="11"/>
      <color rgb="FFFFFFFF"/>
      <name val="Cambria"/>
      <charset val="1"/>
    </font>
    <font>
      <b/>
      <sz val="10"/>
      <name val="Cambria"/>
      <charset val="1"/>
    </font>
    <font>
      <sz val="11"/>
      <color rgb="FF0000FF"/>
      <name val="Cambria"/>
      <charset val="1"/>
    </font>
    <font>
      <sz val="11"/>
      <color rgb="FF000000"/>
      <name val="Cambria"/>
      <charset val="1"/>
    </font>
    <font>
      <b/>
      <sz val="11"/>
      <color rgb="FF000000"/>
      <name val="Cambria"/>
      <charset val="1"/>
    </font>
    <font>
      <b/>
      <sz val="12"/>
      <name val="Cambria"/>
      <charset val="1"/>
    </font>
    <font>
      <b/>
      <sz val="12"/>
      <color rgb="FF000000"/>
      <name val="Cambria"/>
      <charset val="1"/>
    </font>
    <font>
      <b/>
      <sz val="13"/>
      <name val="Cambria"/>
      <charset val="1"/>
    </font>
    <font>
      <b/>
      <sz val="12"/>
      <color rgb="FFFFFFFF"/>
      <name val="Cambria"/>
      <charset val="1"/>
    </font>
    <font>
      <i/>
      <sz val="10"/>
      <name val="Cambria"/>
      <charset val="1"/>
    </font>
    <font>
      <sz val="11"/>
      <color rgb="FF008000"/>
      <name val="Cambria"/>
      <charset val="1"/>
    </font>
    <font>
      <b/>
      <sz val="11"/>
      <color rgb="FFFF0000"/>
      <name val="Cambria"/>
      <charset val="1"/>
    </font>
  </fonts>
  <fills count="10">
    <fill>
      <patternFill patternType="none"/>
    </fill>
    <fill>
      <patternFill patternType="gray125"/>
    </fill>
    <fill>
      <patternFill patternType="solid">
        <fgColor rgb="FF1F4E78"/>
        <bgColor rgb="FF003366"/>
      </patternFill>
    </fill>
    <fill>
      <patternFill patternType="solid">
        <fgColor rgb="FFE7E6E6"/>
        <bgColor rgb="FFD9E1F2"/>
      </patternFill>
    </fill>
    <fill>
      <patternFill patternType="solid">
        <fgColor rgb="FF4472C4"/>
        <bgColor rgb="FF666699"/>
      </patternFill>
    </fill>
    <fill>
      <patternFill patternType="solid">
        <fgColor rgb="FFD9E1F2"/>
        <bgColor rgb="FFE7E6E6"/>
      </patternFill>
    </fill>
    <fill>
      <patternFill patternType="solid">
        <fgColor rgb="FFFFF2CC"/>
        <bgColor rgb="FFE7E6E6"/>
      </patternFill>
    </fill>
    <fill>
      <patternFill patternType="solid">
        <fgColor rgb="FFFFD966"/>
        <bgColor rgb="FFFFFF99"/>
      </patternFill>
    </fill>
    <fill>
      <patternFill patternType="solid">
        <fgColor rgb="FF92D050"/>
        <bgColor rgb="FFC0C0C0"/>
      </patternFill>
    </fill>
    <fill>
      <patternFill patternType="solid">
        <fgColor rgb="FF00B050"/>
        <bgColor rgb="FF008080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9" fontId="1" fillId="0" borderId="0" applyBorder="0" applyAlignment="0" applyProtection="0"/>
  </cellStyleXfs>
  <cellXfs count="2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/>
    <xf numFmtId="0" fontId="4" fillId="3" borderId="0" xfId="0" applyFont="1" applyFill="1" applyAlignment="1">
      <alignment horizontal="center"/>
    </xf>
    <xf numFmtId="0" fontId="5" fillId="4" borderId="0" xfId="0" applyFont="1" applyFill="1" applyAlignment="1">
      <alignment horizontal="left" vertical="center"/>
    </xf>
    <xf numFmtId="0" fontId="6" fillId="5" borderId="0" xfId="0" applyFont="1" applyFill="1" applyAlignment="1">
      <alignment horizontal="left" vertical="center"/>
    </xf>
    <xf numFmtId="164" fontId="7" fillId="0" borderId="0" xfId="0" applyNumberFormat="1" applyFont="1" applyAlignment="1">
      <alignment horizontal="right"/>
    </xf>
    <xf numFmtId="0" fontId="4" fillId="0" borderId="0" xfId="0" applyFont="1"/>
    <xf numFmtId="164" fontId="8" fillId="0" borderId="1" xfId="0" applyNumberFormat="1" applyFont="1" applyBorder="1" applyAlignment="1">
      <alignment horizontal="right"/>
    </xf>
    <xf numFmtId="164" fontId="9" fillId="6" borderId="2" xfId="0" applyNumberFormat="1" applyFont="1" applyFill="1" applyBorder="1" applyAlignment="1">
      <alignment horizontal="right"/>
    </xf>
    <xf numFmtId="0" fontId="10" fillId="0" borderId="0" xfId="0" applyFont="1"/>
    <xf numFmtId="164" fontId="11" fillId="7" borderId="2" xfId="0" applyNumberFormat="1" applyFont="1" applyFill="1" applyBorder="1" applyAlignment="1">
      <alignment horizontal="right"/>
    </xf>
    <xf numFmtId="164" fontId="8" fillId="0" borderId="0" xfId="0" applyNumberFormat="1" applyFont="1" applyAlignment="1">
      <alignment horizontal="right"/>
    </xf>
    <xf numFmtId="164" fontId="9" fillId="0" borderId="2" xfId="0" applyNumberFormat="1" applyFont="1" applyBorder="1" applyAlignment="1">
      <alignment horizontal="right"/>
    </xf>
    <xf numFmtId="164" fontId="11" fillId="8" borderId="2" xfId="0" applyNumberFormat="1" applyFont="1" applyFill="1" applyBorder="1" applyAlignment="1">
      <alignment horizontal="right"/>
    </xf>
    <xf numFmtId="164" fontId="11" fillId="0" borderId="2" xfId="0" applyNumberFormat="1" applyFont="1" applyBorder="1" applyAlignment="1">
      <alignment horizontal="right"/>
    </xf>
    <xf numFmtId="0" fontId="12" fillId="0" borderId="0" xfId="0" applyFont="1"/>
    <xf numFmtId="164" fontId="13" fillId="9" borderId="2" xfId="0" applyNumberFormat="1" applyFont="1" applyFill="1" applyBorder="1" applyAlignment="1">
      <alignment horizontal="right"/>
    </xf>
    <xf numFmtId="0" fontId="14" fillId="0" borderId="0" xfId="0" applyFont="1"/>
    <xf numFmtId="164" fontId="15" fillId="0" borderId="0" xfId="0" applyNumberFormat="1" applyFont="1" applyAlignment="1">
      <alignment horizontal="right"/>
    </xf>
    <xf numFmtId="164" fontId="9" fillId="7" borderId="2" xfId="0" applyNumberFormat="1" applyFont="1" applyFill="1" applyBorder="1" applyAlignment="1">
      <alignment horizontal="right"/>
    </xf>
    <xf numFmtId="164" fontId="9" fillId="8" borderId="2" xfId="0" applyNumberFormat="1" applyFont="1" applyFill="1" applyBorder="1" applyAlignment="1">
      <alignment horizontal="right"/>
    </xf>
    <xf numFmtId="0" fontId="16" fillId="0" borderId="0" xfId="0" applyFont="1"/>
    <xf numFmtId="164" fontId="16" fillId="0" borderId="0" xfId="0" applyNumberFormat="1" applyFont="1" applyAlignment="1">
      <alignment horizontal="right"/>
    </xf>
    <xf numFmtId="0" fontId="8" fillId="0" borderId="0" xfId="0" applyFont="1"/>
    <xf numFmtId="10" fontId="1" fillId="0" borderId="0" xfId="1" applyNumberFormat="1" applyAlignment="1">
      <alignment horizontal="righ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E7E6E6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D966"/>
      <rgbColor rgb="FF4472C4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1F4E78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2"/>
  <sheetViews>
    <sheetView tabSelected="1" zoomScaleNormal="100" workbookViewId="0">
      <selection activeCell="B99" sqref="B99:F99"/>
    </sheetView>
  </sheetViews>
  <sheetFormatPr baseColWidth="10" defaultColWidth="8.6640625" defaultRowHeight="15" outlineLevelRow="1" x14ac:dyDescent="0.2"/>
  <cols>
    <col min="1" max="1" width="44" customWidth="1"/>
    <col min="2" max="6" width="16" customWidth="1"/>
  </cols>
  <sheetData>
    <row r="1" spans="1:7" ht="15.75" customHeight="1" x14ac:dyDescent="0.2">
      <c r="A1" s="1" t="s">
        <v>0</v>
      </c>
      <c r="B1" s="1"/>
      <c r="C1" s="1"/>
      <c r="D1" s="1"/>
      <c r="E1" s="1"/>
      <c r="F1" s="1"/>
      <c r="G1" s="1"/>
    </row>
    <row r="2" spans="1:7" ht="15" customHeight="1" x14ac:dyDescent="0.2">
      <c r="A2" s="3" t="s">
        <v>1</v>
      </c>
    </row>
    <row r="3" spans="1:7" ht="15" customHeight="1" x14ac:dyDescent="0.2">
      <c r="A3" s="3" t="s">
        <v>2</v>
      </c>
    </row>
    <row r="5" spans="1:7" ht="15" customHeight="1" x14ac:dyDescent="0.2"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</row>
    <row r="7" spans="1:7" ht="15" customHeight="1" x14ac:dyDescent="0.2">
      <c r="A7" s="5" t="s">
        <v>8</v>
      </c>
      <c r="B7" s="5"/>
      <c r="C7" s="5"/>
      <c r="D7" s="5"/>
      <c r="E7" s="5"/>
      <c r="F7" s="5"/>
      <c r="G7" s="5"/>
    </row>
    <row r="8" spans="1:7" ht="15" customHeight="1" outlineLevel="1" x14ac:dyDescent="0.2">
      <c r="A8" s="6" t="s">
        <v>9</v>
      </c>
      <c r="B8" s="6"/>
      <c r="C8" s="6"/>
      <c r="D8" s="6"/>
      <c r="E8" s="6"/>
      <c r="F8" s="6"/>
      <c r="G8" s="6"/>
    </row>
    <row r="9" spans="1:7" ht="15" customHeight="1" outlineLevel="1" x14ac:dyDescent="0.2">
      <c r="A9" t="s">
        <v>10</v>
      </c>
      <c r="B9" s="7">
        <v>36936</v>
      </c>
      <c r="C9" s="7">
        <v>41368.32</v>
      </c>
      <c r="D9" s="7">
        <v>46332.518400000001</v>
      </c>
      <c r="E9" s="7">
        <v>51892.358399999997</v>
      </c>
      <c r="F9" s="7">
        <v>58119.508800000003</v>
      </c>
    </row>
    <row r="10" spans="1:7" ht="15" customHeight="1" outlineLevel="1" x14ac:dyDescent="0.2">
      <c r="A10" t="s">
        <v>11</v>
      </c>
      <c r="B10" s="7">
        <v>27702</v>
      </c>
      <c r="C10" s="7">
        <v>31026.240000000002</v>
      </c>
      <c r="D10" s="7">
        <v>34749.388800000001</v>
      </c>
      <c r="E10" s="7">
        <v>38919.268799999998</v>
      </c>
      <c r="F10" s="7">
        <v>43589.631600000001</v>
      </c>
    </row>
    <row r="11" spans="1:7" ht="15" customHeight="1" outlineLevel="1" x14ac:dyDescent="0.2">
      <c r="A11" t="s">
        <v>12</v>
      </c>
      <c r="B11" s="7">
        <v>18468</v>
      </c>
      <c r="C11" s="7">
        <v>20684.16</v>
      </c>
      <c r="D11" s="7">
        <v>23166.2592</v>
      </c>
      <c r="E11" s="7">
        <v>25946.179199999999</v>
      </c>
      <c r="F11" s="7">
        <v>29059.754400000002</v>
      </c>
    </row>
    <row r="12" spans="1:7" ht="15" customHeight="1" outlineLevel="1" x14ac:dyDescent="0.2">
      <c r="A12" t="s">
        <v>13</v>
      </c>
      <c r="B12" s="7">
        <v>9234</v>
      </c>
      <c r="C12" s="7">
        <v>10342.08</v>
      </c>
      <c r="D12" s="7">
        <v>11583.1296</v>
      </c>
      <c r="E12" s="7">
        <v>12973.089599999999</v>
      </c>
      <c r="F12" s="7">
        <v>14529.877200000001</v>
      </c>
    </row>
    <row r="13" spans="1:7" ht="15" customHeight="1" outlineLevel="1" x14ac:dyDescent="0.2">
      <c r="A13" s="8" t="s">
        <v>14</v>
      </c>
      <c r="B13" s="9">
        <f>SUM(B9:B12)</f>
        <v>92340</v>
      </c>
      <c r="C13" s="9">
        <f>SUM(C9:C12)</f>
        <v>103420.8</v>
      </c>
      <c r="D13" s="9">
        <f>SUM(D9:D12)</f>
        <v>115831.296</v>
      </c>
      <c r="E13" s="9">
        <f>SUM(E9:E12)</f>
        <v>129730.89599999998</v>
      </c>
      <c r="F13" s="9">
        <f>SUM(F9:F12)</f>
        <v>145298.772</v>
      </c>
    </row>
    <row r="14" spans="1:7" ht="15" customHeight="1" x14ac:dyDescent="0.2">
      <c r="A14" s="6" t="s">
        <v>15</v>
      </c>
      <c r="B14" s="6"/>
      <c r="C14" s="6"/>
      <c r="D14" s="6"/>
      <c r="E14" s="6"/>
      <c r="F14" s="6"/>
      <c r="G14" s="6"/>
    </row>
    <row r="15" spans="1:7" ht="15" customHeight="1" x14ac:dyDescent="0.2">
      <c r="A15" t="s">
        <v>10</v>
      </c>
      <c r="B15" s="7">
        <v>24624</v>
      </c>
      <c r="C15" s="7">
        <v>27578.880000000001</v>
      </c>
      <c r="D15" s="7">
        <v>30888.345600000001</v>
      </c>
      <c r="E15" s="7">
        <v>34594.905599999998</v>
      </c>
      <c r="F15" s="7">
        <v>38746.339200000002</v>
      </c>
    </row>
    <row r="16" spans="1:7" ht="15" customHeight="1" outlineLevel="1" x14ac:dyDescent="0.2">
      <c r="A16" t="s">
        <v>11</v>
      </c>
      <c r="B16" s="7">
        <v>18468</v>
      </c>
      <c r="C16" s="7">
        <v>20684.16</v>
      </c>
      <c r="D16" s="7">
        <v>23166.2592</v>
      </c>
      <c r="E16" s="7">
        <v>25946.179199999999</v>
      </c>
      <c r="F16" s="7">
        <v>29059.754400000002</v>
      </c>
    </row>
    <row r="17" spans="1:7" ht="15" customHeight="1" outlineLevel="1" x14ac:dyDescent="0.2">
      <c r="A17" t="s">
        <v>12</v>
      </c>
      <c r="B17" s="7">
        <v>12312</v>
      </c>
      <c r="C17" s="7">
        <v>13789.44</v>
      </c>
      <c r="D17" s="7">
        <v>15444.1728</v>
      </c>
      <c r="E17" s="7">
        <v>17297.452799999999</v>
      </c>
      <c r="F17" s="7">
        <v>19373.169600000001</v>
      </c>
    </row>
    <row r="18" spans="1:7" ht="15" customHeight="1" outlineLevel="1" x14ac:dyDescent="0.2">
      <c r="A18" t="s">
        <v>13</v>
      </c>
      <c r="B18" s="7">
        <v>6156</v>
      </c>
      <c r="C18" s="7">
        <v>6894.72</v>
      </c>
      <c r="D18" s="7">
        <v>7722.0864000000001</v>
      </c>
      <c r="E18" s="7">
        <v>8648.7263999999996</v>
      </c>
      <c r="F18" s="7">
        <v>9686.5848000000005</v>
      </c>
    </row>
    <row r="19" spans="1:7" ht="15" customHeight="1" outlineLevel="1" x14ac:dyDescent="0.2">
      <c r="A19" s="8" t="s">
        <v>16</v>
      </c>
      <c r="B19" s="9">
        <f>SUM(B15:B18)</f>
        <v>61560</v>
      </c>
      <c r="C19" s="9">
        <f>SUM(C15:C18)</f>
        <v>68947.199999999997</v>
      </c>
      <c r="D19" s="9">
        <f>SUM(D15:D18)</f>
        <v>77220.864000000001</v>
      </c>
      <c r="E19" s="9">
        <f>SUM(E15:E18)</f>
        <v>86487.263999999996</v>
      </c>
      <c r="F19" s="9">
        <f>SUM(F15:F18)</f>
        <v>96865.848000000013</v>
      </c>
    </row>
    <row r="20" spans="1:7" ht="15" customHeight="1" outlineLevel="1" x14ac:dyDescent="0.2">
      <c r="A20" s="6" t="s">
        <v>17</v>
      </c>
      <c r="B20" s="6"/>
      <c r="C20" s="6"/>
      <c r="D20" s="6"/>
      <c r="E20" s="6"/>
      <c r="F20" s="6"/>
      <c r="G20" s="6"/>
    </row>
    <row r="21" spans="1:7" ht="15" customHeight="1" outlineLevel="1" x14ac:dyDescent="0.2">
      <c r="A21" t="s">
        <v>10</v>
      </c>
      <c r="B21" s="7">
        <v>16416</v>
      </c>
      <c r="C21" s="7">
        <v>18385.919999999998</v>
      </c>
      <c r="D21" s="7">
        <v>20592.2304</v>
      </c>
      <c r="E21" s="7">
        <v>23063.270400000001</v>
      </c>
      <c r="F21" s="7">
        <v>25830.892800000001</v>
      </c>
    </row>
    <row r="22" spans="1:7" ht="15" customHeight="1" x14ac:dyDescent="0.2">
      <c r="A22" t="s">
        <v>11</v>
      </c>
      <c r="B22" s="7">
        <v>12312</v>
      </c>
      <c r="C22" s="7">
        <v>13789.44</v>
      </c>
      <c r="D22" s="7">
        <v>15444.1728</v>
      </c>
      <c r="E22" s="7">
        <v>17297.452799999999</v>
      </c>
      <c r="F22" s="7">
        <v>19373.169600000001</v>
      </c>
    </row>
    <row r="23" spans="1:7" ht="15" customHeight="1" x14ac:dyDescent="0.2">
      <c r="A23" t="s">
        <v>12</v>
      </c>
      <c r="B23" s="7">
        <v>8208</v>
      </c>
      <c r="C23" s="7">
        <v>9192.9599999999991</v>
      </c>
      <c r="D23" s="7">
        <v>10296.1152</v>
      </c>
      <c r="E23" s="7">
        <v>11531.635200000001</v>
      </c>
      <c r="F23" s="7">
        <v>12915.446400000001</v>
      </c>
    </row>
    <row r="24" spans="1:7" ht="15" customHeight="1" outlineLevel="1" x14ac:dyDescent="0.2">
      <c r="A24" t="s">
        <v>13</v>
      </c>
      <c r="B24" s="7">
        <v>4104</v>
      </c>
      <c r="C24" s="7">
        <v>4596.4799999999996</v>
      </c>
      <c r="D24" s="7">
        <v>5148.0576000000001</v>
      </c>
      <c r="E24" s="7">
        <v>5765.8176000000003</v>
      </c>
      <c r="F24" s="7">
        <v>6457.7232000000004</v>
      </c>
    </row>
    <row r="25" spans="1:7" ht="15" customHeight="1" outlineLevel="1" x14ac:dyDescent="0.2">
      <c r="A25" s="8" t="s">
        <v>18</v>
      </c>
      <c r="B25" s="9">
        <f>SUM(B21:B24)</f>
        <v>41040</v>
      </c>
      <c r="C25" s="9">
        <f>SUM(C21:C24)</f>
        <v>45964.800000000003</v>
      </c>
      <c r="D25" s="9">
        <f>SUM(D21:D24)</f>
        <v>51480.576000000001</v>
      </c>
      <c r="E25" s="9">
        <f>SUM(E21:E24)</f>
        <v>57658.175999999999</v>
      </c>
      <c r="F25" s="9">
        <f>SUM(F21:F24)</f>
        <v>64577.232000000004</v>
      </c>
    </row>
    <row r="26" spans="1:7" ht="15" customHeight="1" outlineLevel="1" x14ac:dyDescent="0.2">
      <c r="A26" s="6" t="s">
        <v>19</v>
      </c>
      <c r="B26" s="6"/>
      <c r="C26" s="6"/>
      <c r="D26" s="6"/>
      <c r="E26" s="6"/>
      <c r="F26" s="6"/>
      <c r="G26" s="6"/>
    </row>
    <row r="27" spans="1:7" ht="15" customHeight="1" outlineLevel="1" x14ac:dyDescent="0.2">
      <c r="A27" t="s">
        <v>10</v>
      </c>
      <c r="B27" s="7">
        <v>4104</v>
      </c>
      <c r="C27" s="7">
        <v>4596.4799999999996</v>
      </c>
      <c r="D27" s="7">
        <v>5148.0576000000001</v>
      </c>
      <c r="E27" s="7">
        <v>5765.8176000000003</v>
      </c>
      <c r="F27" s="7">
        <v>6457.7232000000004</v>
      </c>
    </row>
    <row r="28" spans="1:7" ht="15" customHeight="1" outlineLevel="1" x14ac:dyDescent="0.2">
      <c r="A28" t="s">
        <v>11</v>
      </c>
      <c r="B28" s="7">
        <v>3078</v>
      </c>
      <c r="C28" s="7">
        <v>3447.36</v>
      </c>
      <c r="D28" s="7">
        <v>3861.0432000000001</v>
      </c>
      <c r="E28" s="7">
        <v>4324.3631999999998</v>
      </c>
      <c r="F28" s="7">
        <v>4843.2924000000003</v>
      </c>
    </row>
    <row r="29" spans="1:7" ht="15" customHeight="1" outlineLevel="1" x14ac:dyDescent="0.2">
      <c r="A29" t="s">
        <v>12</v>
      </c>
      <c r="B29" s="7">
        <v>2052</v>
      </c>
      <c r="C29" s="7">
        <v>2298.2399999999998</v>
      </c>
      <c r="D29" s="7">
        <v>2574.0288</v>
      </c>
      <c r="E29" s="7">
        <v>2882.9088000000002</v>
      </c>
      <c r="F29" s="7">
        <v>3228.8616000000002</v>
      </c>
    </row>
    <row r="30" spans="1:7" ht="15" customHeight="1" x14ac:dyDescent="0.2">
      <c r="A30" t="s">
        <v>13</v>
      </c>
      <c r="B30" s="7">
        <v>1026</v>
      </c>
      <c r="C30" s="7">
        <v>1149.1199999999999</v>
      </c>
      <c r="D30" s="7">
        <v>1287.0144</v>
      </c>
      <c r="E30" s="7">
        <v>1441.4544000000001</v>
      </c>
      <c r="F30" s="7">
        <v>1614.4308000000001</v>
      </c>
    </row>
    <row r="31" spans="1:7" ht="15" customHeight="1" x14ac:dyDescent="0.2">
      <c r="A31" s="8" t="s">
        <v>20</v>
      </c>
      <c r="B31" s="9">
        <f>SUM(B27:B30)</f>
        <v>10260</v>
      </c>
      <c r="C31" s="9">
        <f>SUM(C27:C30)</f>
        <v>11491.2</v>
      </c>
      <c r="D31" s="9">
        <f>SUM(D27:D30)</f>
        <v>12870.144</v>
      </c>
      <c r="E31" s="9">
        <f>SUM(E27:E30)</f>
        <v>14414.544</v>
      </c>
      <c r="F31" s="9">
        <f>SUM(F27:F30)</f>
        <v>16144.308000000001</v>
      </c>
    </row>
    <row r="32" spans="1:7" ht="15" customHeight="1" outlineLevel="1" x14ac:dyDescent="0.2">
      <c r="A32" s="8" t="s">
        <v>21</v>
      </c>
      <c r="B32" s="10">
        <f>B13+B19+B25+B31</f>
        <v>205200</v>
      </c>
      <c r="C32" s="10">
        <f>C13+C19+C25+C31</f>
        <v>229824</v>
      </c>
      <c r="D32" s="10">
        <f>D13+D19+D25+D31</f>
        <v>257402.88</v>
      </c>
      <c r="E32" s="10">
        <f>E13+E19+E25+E31</f>
        <v>288290.87999999995</v>
      </c>
      <c r="F32" s="10">
        <f>F13+F19+F25+F31</f>
        <v>322886.16000000003</v>
      </c>
    </row>
    <row r="33" spans="1:7" outlineLevel="1" x14ac:dyDescent="0.2"/>
    <row r="34" spans="1:7" ht="15" customHeight="1" outlineLevel="1" x14ac:dyDescent="0.2">
      <c r="A34" s="5" t="s">
        <v>22</v>
      </c>
      <c r="B34" s="5"/>
      <c r="C34" s="5"/>
      <c r="D34" s="5"/>
      <c r="E34" s="5"/>
      <c r="F34" s="5"/>
      <c r="G34" s="5"/>
    </row>
    <row r="35" spans="1:7" ht="15" customHeight="1" outlineLevel="1" x14ac:dyDescent="0.2">
      <c r="A35" t="s">
        <v>23</v>
      </c>
      <c r="B35" s="7">
        <v>39900</v>
      </c>
      <c r="C35" s="7">
        <v>44688</v>
      </c>
      <c r="D35" s="7">
        <v>50050.559999999998</v>
      </c>
      <c r="E35" s="7">
        <v>56056.56</v>
      </c>
      <c r="F35" s="7">
        <v>62783.42</v>
      </c>
    </row>
    <row r="36" spans="1:7" ht="15" customHeight="1" outlineLevel="1" x14ac:dyDescent="0.2">
      <c r="A36" t="s">
        <v>24</v>
      </c>
      <c r="B36" s="7">
        <v>19950</v>
      </c>
      <c r="C36" s="7">
        <v>22344</v>
      </c>
      <c r="D36" s="7">
        <v>25025.279999999999</v>
      </c>
      <c r="E36" s="7">
        <v>28028.28</v>
      </c>
      <c r="F36" s="7">
        <v>31391.71</v>
      </c>
    </row>
    <row r="37" spans="1:7" ht="15" customHeight="1" outlineLevel="1" x14ac:dyDescent="0.2">
      <c r="A37" t="s">
        <v>25</v>
      </c>
      <c r="B37" s="7">
        <v>15960</v>
      </c>
      <c r="C37" s="7">
        <v>17875.2</v>
      </c>
      <c r="D37" s="7">
        <v>20020.223999999998</v>
      </c>
      <c r="E37" s="7">
        <v>22422.624</v>
      </c>
      <c r="F37" s="7">
        <v>25113.367999999999</v>
      </c>
    </row>
    <row r="38" spans="1:7" ht="15" customHeight="1" x14ac:dyDescent="0.2">
      <c r="A38" t="s">
        <v>26</v>
      </c>
      <c r="B38" s="7">
        <v>3990</v>
      </c>
      <c r="C38" s="7">
        <v>4468.8</v>
      </c>
      <c r="D38" s="7">
        <v>5005.0559999999996</v>
      </c>
      <c r="E38" s="7">
        <v>5605.6559999999999</v>
      </c>
      <c r="F38" s="7">
        <v>6278.3419999999996</v>
      </c>
    </row>
    <row r="39" spans="1:7" ht="15" customHeight="1" x14ac:dyDescent="0.2">
      <c r="A39" s="8" t="s">
        <v>27</v>
      </c>
      <c r="B39" s="10">
        <f>SUM(B35:B38)</f>
        <v>79800</v>
      </c>
      <c r="C39" s="10">
        <f>SUM(C35:C38)</f>
        <v>89376</v>
      </c>
      <c r="D39" s="10">
        <f>SUM(D35:D38)</f>
        <v>100101.12</v>
      </c>
      <c r="E39" s="10">
        <f>SUM(E35:E38)</f>
        <v>112113.12</v>
      </c>
      <c r="F39" s="10">
        <f>SUM(F35:F38)</f>
        <v>125566.84000000001</v>
      </c>
    </row>
    <row r="41" spans="1:7" ht="15" customHeight="1" x14ac:dyDescent="0.2">
      <c r="A41" s="11" t="s">
        <v>28</v>
      </c>
      <c r="B41" s="12">
        <f>B32+B39</f>
        <v>285000</v>
      </c>
      <c r="C41" s="12">
        <f>C32+C39</f>
        <v>319200</v>
      </c>
      <c r="D41" s="12">
        <f>D32+D39</f>
        <v>357504</v>
      </c>
      <c r="E41" s="12">
        <f>E32+E39</f>
        <v>400403.99999999994</v>
      </c>
      <c r="F41" s="12">
        <f>F32+F39</f>
        <v>448453.00000000006</v>
      </c>
    </row>
    <row r="42" spans="1:7" outlineLevel="1" x14ac:dyDescent="0.2"/>
    <row r="43" spans="1:7" ht="15" customHeight="1" outlineLevel="1" x14ac:dyDescent="0.2">
      <c r="A43" s="5" t="s">
        <v>29</v>
      </c>
      <c r="B43" s="5"/>
      <c r="C43" s="5"/>
      <c r="D43" s="5"/>
      <c r="E43" s="5"/>
      <c r="F43" s="5"/>
      <c r="G43" s="5"/>
    </row>
    <row r="44" spans="1:7" ht="15" customHeight="1" outlineLevel="1" x14ac:dyDescent="0.2">
      <c r="A44" s="6" t="s">
        <v>30</v>
      </c>
      <c r="B44" s="6"/>
      <c r="C44" s="6"/>
      <c r="D44" s="6"/>
      <c r="E44" s="6"/>
      <c r="F44" s="6"/>
      <c r="G44" s="6"/>
    </row>
    <row r="45" spans="1:7" ht="15" customHeight="1" outlineLevel="1" x14ac:dyDescent="0.2">
      <c r="A45" t="s">
        <v>31</v>
      </c>
      <c r="B45" s="13">
        <f>B32*0.22</f>
        <v>45144</v>
      </c>
      <c r="C45" s="13">
        <f>C32*0.22</f>
        <v>50561.279999999999</v>
      </c>
      <c r="D45" s="13">
        <f>D32*0.22</f>
        <v>56628.633600000001</v>
      </c>
      <c r="E45" s="13">
        <f>E32*0.22</f>
        <v>63423.993599999987</v>
      </c>
      <c r="F45" s="13">
        <f>F32*0.22</f>
        <v>71034.955200000011</v>
      </c>
    </row>
    <row r="46" spans="1:7" ht="15" customHeight="1" x14ac:dyDescent="0.2">
      <c r="A46" t="s">
        <v>32</v>
      </c>
      <c r="B46" s="13">
        <f>B32*0.11</f>
        <v>22572</v>
      </c>
      <c r="C46" s="13">
        <f>C32*0.11</f>
        <v>25280.639999999999</v>
      </c>
      <c r="D46" s="13">
        <f>D32*0.11</f>
        <v>28314.316800000001</v>
      </c>
      <c r="E46" s="13">
        <f>E32*0.11</f>
        <v>31711.996799999994</v>
      </c>
      <c r="F46" s="13">
        <f>F32*0.11</f>
        <v>35517.477600000006</v>
      </c>
    </row>
    <row r="47" spans="1:7" ht="15" customHeight="1" x14ac:dyDescent="0.2">
      <c r="A47" t="s">
        <v>33</v>
      </c>
      <c r="B47" s="13">
        <f>B32*0.15</f>
        <v>30780</v>
      </c>
      <c r="C47" s="13">
        <f>C32*0.15</f>
        <v>34473.599999999999</v>
      </c>
      <c r="D47" s="13">
        <f>D32*0.15</f>
        <v>38610.432000000001</v>
      </c>
      <c r="E47" s="13">
        <f>E32*0.15</f>
        <v>43243.631999999991</v>
      </c>
      <c r="F47" s="13">
        <f>F32*0.15</f>
        <v>48432.924000000006</v>
      </c>
    </row>
    <row r="48" spans="1:7" ht="15" customHeight="1" x14ac:dyDescent="0.2">
      <c r="A48" t="s">
        <v>34</v>
      </c>
      <c r="B48" s="13">
        <f>B32*0.06</f>
        <v>12312</v>
      </c>
      <c r="C48" s="13">
        <f>C32*0.06</f>
        <v>13789.439999999999</v>
      </c>
      <c r="D48" s="13">
        <f>D32*0.06</f>
        <v>15444.1728</v>
      </c>
      <c r="E48" s="13">
        <f>E32*0.06</f>
        <v>17297.452799999995</v>
      </c>
      <c r="F48" s="13">
        <f>F32*0.06</f>
        <v>19373.169600000001</v>
      </c>
    </row>
    <row r="49" spans="1:7" ht="15" customHeight="1" x14ac:dyDescent="0.2">
      <c r="A49" t="s">
        <v>35</v>
      </c>
      <c r="B49" s="13">
        <f>B32*0.04</f>
        <v>8208</v>
      </c>
      <c r="C49" s="13">
        <f>C32*0.04</f>
        <v>9192.9600000000009</v>
      </c>
      <c r="D49" s="13">
        <f>D32*0.04</f>
        <v>10296.1152</v>
      </c>
      <c r="E49" s="13">
        <f>E32*0.04</f>
        <v>11531.635199999999</v>
      </c>
      <c r="F49" s="13">
        <f>F32*0.04</f>
        <v>12915.446400000001</v>
      </c>
    </row>
    <row r="50" spans="1:7" ht="15" customHeight="1" outlineLevel="1" x14ac:dyDescent="0.2">
      <c r="A50" t="s">
        <v>36</v>
      </c>
      <c r="B50" s="13">
        <f>B32*0.03</f>
        <v>6156</v>
      </c>
      <c r="C50" s="13">
        <f>C32*0.03</f>
        <v>6894.7199999999993</v>
      </c>
      <c r="D50" s="13">
        <f>D32*0.03</f>
        <v>7722.0864000000001</v>
      </c>
      <c r="E50" s="13">
        <f>E32*0.03</f>
        <v>8648.7263999999977</v>
      </c>
      <c r="F50" s="13">
        <f>F32*0.03</f>
        <v>9686.5848000000005</v>
      </c>
    </row>
    <row r="51" spans="1:7" ht="15" customHeight="1" outlineLevel="1" x14ac:dyDescent="0.2">
      <c r="A51" t="s">
        <v>37</v>
      </c>
      <c r="B51" s="13">
        <f>B32*0.08</f>
        <v>16416</v>
      </c>
      <c r="C51" s="13">
        <f>C32*0.08</f>
        <v>18385.920000000002</v>
      </c>
      <c r="D51" s="13">
        <f>D32*0.08</f>
        <v>20592.2304</v>
      </c>
      <c r="E51" s="13">
        <f>E32*0.08</f>
        <v>23063.270399999998</v>
      </c>
      <c r="F51" s="13">
        <f>F32*0.08</f>
        <v>25830.892800000001</v>
      </c>
    </row>
    <row r="52" spans="1:7" ht="15" customHeight="1" outlineLevel="1" x14ac:dyDescent="0.2">
      <c r="A52" t="s">
        <v>38</v>
      </c>
      <c r="B52" s="13">
        <f>B32*0.04</f>
        <v>8208</v>
      </c>
      <c r="C52" s="13">
        <f>C32*0.04</f>
        <v>9192.9600000000009</v>
      </c>
      <c r="D52" s="13">
        <f>D32*0.04</f>
        <v>10296.1152</v>
      </c>
      <c r="E52" s="13">
        <f>E32*0.04</f>
        <v>11531.635199999999</v>
      </c>
      <c r="F52" s="13">
        <f>F32*0.04</f>
        <v>12915.446400000001</v>
      </c>
    </row>
    <row r="53" spans="1:7" ht="15" customHeight="1" outlineLevel="1" x14ac:dyDescent="0.2">
      <c r="A53" t="s">
        <v>39</v>
      </c>
      <c r="B53" s="13">
        <f>B32*0.01</f>
        <v>2052</v>
      </c>
      <c r="C53" s="13">
        <f>C32*0.01</f>
        <v>2298.2400000000002</v>
      </c>
      <c r="D53" s="13">
        <f>D32*0.01</f>
        <v>2574.0288</v>
      </c>
      <c r="E53" s="13">
        <f>E32*0.01</f>
        <v>2882.9087999999997</v>
      </c>
      <c r="F53" s="13">
        <f>F32*0.01</f>
        <v>3228.8616000000002</v>
      </c>
    </row>
    <row r="54" spans="1:7" ht="15" customHeight="1" outlineLevel="1" x14ac:dyDescent="0.2">
      <c r="A54" s="8" t="s">
        <v>40</v>
      </c>
      <c r="B54" s="14">
        <f>SUM(B45:B53)</f>
        <v>151848</v>
      </c>
      <c r="C54" s="14">
        <f>SUM(C45:C53)</f>
        <v>170069.75999999998</v>
      </c>
      <c r="D54" s="14">
        <f>SUM(D45:D53)</f>
        <v>190478.1312</v>
      </c>
      <c r="E54" s="14">
        <f>SUM(E45:E53)</f>
        <v>213335.25119999994</v>
      </c>
      <c r="F54" s="14">
        <f>SUM(F45:F53)</f>
        <v>238935.75839999999</v>
      </c>
    </row>
    <row r="55" spans="1:7" ht="15" customHeight="1" x14ac:dyDescent="0.2">
      <c r="A55" s="6" t="s">
        <v>41</v>
      </c>
      <c r="B55" s="6"/>
      <c r="C55" s="6"/>
      <c r="D55" s="6"/>
      <c r="E55" s="6"/>
      <c r="F55" s="6"/>
      <c r="G55" s="6"/>
    </row>
    <row r="56" spans="1:7" ht="15" customHeight="1" x14ac:dyDescent="0.2">
      <c r="A56" t="s">
        <v>42</v>
      </c>
      <c r="B56" s="13">
        <f>B39*0.28</f>
        <v>22344.000000000004</v>
      </c>
      <c r="C56" s="13">
        <f>C39*0.28</f>
        <v>25025.280000000002</v>
      </c>
      <c r="D56" s="13">
        <f>D39*0.28</f>
        <v>28028.313600000001</v>
      </c>
      <c r="E56" s="13">
        <f>E39*0.28</f>
        <v>31391.673600000002</v>
      </c>
      <c r="F56" s="13">
        <f>F39*0.28</f>
        <v>35158.715200000006</v>
      </c>
    </row>
    <row r="57" spans="1:7" ht="15" customHeight="1" outlineLevel="1" x14ac:dyDescent="0.2">
      <c r="A57" t="s">
        <v>43</v>
      </c>
      <c r="B57" s="13">
        <f>B39*0.18</f>
        <v>14364</v>
      </c>
      <c r="C57" s="13">
        <f>C39*0.18</f>
        <v>16087.68</v>
      </c>
      <c r="D57" s="13">
        <f>D39*0.18</f>
        <v>18018.201599999997</v>
      </c>
      <c r="E57" s="13">
        <f>E39*0.18</f>
        <v>20180.3616</v>
      </c>
      <c r="F57" s="13">
        <f>F39*0.18</f>
        <v>22602.031200000001</v>
      </c>
    </row>
    <row r="58" spans="1:7" ht="15" customHeight="1" outlineLevel="1" x14ac:dyDescent="0.2">
      <c r="A58" t="s">
        <v>44</v>
      </c>
      <c r="B58" s="13">
        <f>B39*0.05</f>
        <v>3990</v>
      </c>
      <c r="C58" s="13">
        <f>C39*0.05</f>
        <v>4468.8</v>
      </c>
      <c r="D58" s="13">
        <f>D39*0.05</f>
        <v>5005.0560000000005</v>
      </c>
      <c r="E58" s="13">
        <f>E39*0.05</f>
        <v>5605.6559999999999</v>
      </c>
      <c r="F58" s="13">
        <f>F39*0.05</f>
        <v>6278.3420000000006</v>
      </c>
    </row>
    <row r="59" spans="1:7" ht="15" customHeight="1" outlineLevel="1" x14ac:dyDescent="0.2">
      <c r="A59" t="s">
        <v>45</v>
      </c>
      <c r="B59" s="13">
        <f>B39*0.04</f>
        <v>3192</v>
      </c>
      <c r="C59" s="13">
        <f>C39*0.04</f>
        <v>3575.04</v>
      </c>
      <c r="D59" s="13">
        <f>D39*0.04</f>
        <v>4004.0448000000001</v>
      </c>
      <c r="E59" s="13">
        <f>E39*0.04</f>
        <v>4484.5248000000001</v>
      </c>
      <c r="F59" s="13">
        <f>F39*0.04</f>
        <v>5022.673600000001</v>
      </c>
    </row>
    <row r="60" spans="1:7" ht="15" customHeight="1" outlineLevel="1" x14ac:dyDescent="0.2">
      <c r="A60" s="8" t="s">
        <v>46</v>
      </c>
      <c r="B60" s="14">
        <f>SUM(B56:B59)</f>
        <v>43890</v>
      </c>
      <c r="C60" s="14">
        <f>SUM(C56:C59)</f>
        <v>49156.80000000001</v>
      </c>
      <c r="D60" s="14">
        <f>SUM(D56:D59)</f>
        <v>55055.615999999995</v>
      </c>
      <c r="E60" s="14">
        <f>SUM(E56:E59)</f>
        <v>61662.216</v>
      </c>
      <c r="F60" s="14">
        <f>SUM(F56:F59)</f>
        <v>69061.762000000002</v>
      </c>
    </row>
    <row r="61" spans="1:7" ht="15" customHeight="1" x14ac:dyDescent="0.2">
      <c r="A61" s="11" t="s">
        <v>47</v>
      </c>
      <c r="B61" s="12">
        <f>B54+B60</f>
        <v>195738</v>
      </c>
      <c r="C61" s="12">
        <f>C54+C60</f>
        <v>219226.56</v>
      </c>
      <c r="D61" s="12">
        <f>D54+D60</f>
        <v>245533.74719999998</v>
      </c>
      <c r="E61" s="12">
        <f>E54+E60</f>
        <v>274997.46719999996</v>
      </c>
      <c r="F61" s="12">
        <f>F54+F60</f>
        <v>307997.52039999998</v>
      </c>
    </row>
    <row r="63" spans="1:7" ht="15" customHeight="1" x14ac:dyDescent="0.2">
      <c r="A63" s="11" t="s">
        <v>48</v>
      </c>
      <c r="B63" s="15">
        <f>B41-B61</f>
        <v>89262</v>
      </c>
      <c r="C63" s="15">
        <f>C41-C61</f>
        <v>99973.440000000002</v>
      </c>
      <c r="D63" s="15">
        <f>D41-D61</f>
        <v>111970.25280000002</v>
      </c>
      <c r="E63" s="15">
        <f>E41-E61</f>
        <v>125406.53279999999</v>
      </c>
      <c r="F63" s="15">
        <f>F41-F61</f>
        <v>140455.47960000008</v>
      </c>
    </row>
    <row r="64" spans="1:7" ht="15" customHeight="1" x14ac:dyDescent="0.2">
      <c r="A64" t="s">
        <v>49</v>
      </c>
      <c r="B64" s="26">
        <f>B63/B41</f>
        <v>0.31319999999999998</v>
      </c>
      <c r="C64" s="26">
        <f>C63/C41</f>
        <v>0.31320000000000003</v>
      </c>
      <c r="D64" s="26">
        <f>D63/D41</f>
        <v>0.31320000000000003</v>
      </c>
      <c r="E64" s="26">
        <f>E63/E41</f>
        <v>0.31320000000000003</v>
      </c>
      <c r="F64" s="26">
        <f>F63/F41</f>
        <v>0.31320000000000014</v>
      </c>
    </row>
    <row r="66" spans="1:7" ht="15" customHeight="1" x14ac:dyDescent="0.2">
      <c r="A66" s="5" t="s">
        <v>50</v>
      </c>
      <c r="B66" s="5"/>
      <c r="C66" s="5"/>
      <c r="D66" s="5"/>
      <c r="E66" s="5"/>
      <c r="F66" s="5"/>
      <c r="G66" s="5"/>
    </row>
    <row r="67" spans="1:7" ht="15" customHeight="1" x14ac:dyDescent="0.2">
      <c r="A67" s="6" t="s">
        <v>51</v>
      </c>
      <c r="B67" s="6"/>
      <c r="C67" s="6"/>
      <c r="D67" s="6"/>
      <c r="E67" s="6"/>
      <c r="F67" s="6"/>
      <c r="G67" s="6"/>
    </row>
    <row r="68" spans="1:7" ht="15" customHeight="1" x14ac:dyDescent="0.2">
      <c r="A68" t="s">
        <v>52</v>
      </c>
      <c r="B68" s="13">
        <f>B41*0.04</f>
        <v>11400</v>
      </c>
      <c r="C68" s="13">
        <f>C41*0.04</f>
        <v>12768</v>
      </c>
      <c r="D68" s="13">
        <f>D41*0.04</f>
        <v>14300.16</v>
      </c>
      <c r="E68" s="13">
        <f>E41*0.04</f>
        <v>16016.159999999998</v>
      </c>
      <c r="F68" s="13">
        <f>F41*0.04</f>
        <v>17938.120000000003</v>
      </c>
    </row>
    <row r="69" spans="1:7" ht="15" customHeight="1" outlineLevel="1" x14ac:dyDescent="0.2">
      <c r="A69" t="s">
        <v>53</v>
      </c>
      <c r="B69" s="13">
        <f>B41*0.025</f>
        <v>7125</v>
      </c>
      <c r="C69" s="13">
        <f>C41*0.025</f>
        <v>7980</v>
      </c>
      <c r="D69" s="13">
        <f>D41*0.025</f>
        <v>8937.6</v>
      </c>
      <c r="E69" s="13">
        <f>E41*0.025</f>
        <v>10010.099999999999</v>
      </c>
      <c r="F69" s="13">
        <f>F41*0.025</f>
        <v>11211.325000000003</v>
      </c>
    </row>
    <row r="70" spans="1:7" ht="15" customHeight="1" outlineLevel="1" x14ac:dyDescent="0.2">
      <c r="A70" t="s">
        <v>54</v>
      </c>
      <c r="B70" s="13">
        <f>B41*0.015</f>
        <v>4275</v>
      </c>
      <c r="C70" s="13">
        <f>C41*0.015</f>
        <v>4788</v>
      </c>
      <c r="D70" s="13">
        <f>D41*0.015</f>
        <v>5362.5599999999995</v>
      </c>
      <c r="E70" s="13">
        <f>E41*0.015</f>
        <v>6006.0599999999986</v>
      </c>
      <c r="F70" s="13">
        <f>F41*0.015</f>
        <v>6726.795000000001</v>
      </c>
    </row>
    <row r="71" spans="1:7" ht="15" customHeight="1" outlineLevel="1" x14ac:dyDescent="0.2">
      <c r="A71" t="s">
        <v>55</v>
      </c>
      <c r="B71" s="13">
        <f>B41*0.01</f>
        <v>2850</v>
      </c>
      <c r="C71" s="13">
        <f>C41*0.01</f>
        <v>3192</v>
      </c>
      <c r="D71" s="13">
        <f>D41*0.01</f>
        <v>3575.04</v>
      </c>
      <c r="E71" s="13">
        <f>E41*0.01</f>
        <v>4004.0399999999995</v>
      </c>
      <c r="F71" s="13">
        <f>F41*0.01</f>
        <v>4484.5300000000007</v>
      </c>
    </row>
    <row r="72" spans="1:7" ht="15" customHeight="1" outlineLevel="1" x14ac:dyDescent="0.2">
      <c r="A72" s="8" t="s">
        <v>56</v>
      </c>
      <c r="B72" s="14">
        <f>SUM(B68:B71)</f>
        <v>25650</v>
      </c>
      <c r="C72" s="14">
        <f>SUM(C68:C71)</f>
        <v>28728</v>
      </c>
      <c r="D72" s="14">
        <f>SUM(D68:D71)</f>
        <v>32175.360000000001</v>
      </c>
      <c r="E72" s="14">
        <f>SUM(E68:E71)</f>
        <v>36036.359999999993</v>
      </c>
      <c r="F72" s="14">
        <f>SUM(F68:F71)</f>
        <v>40360.770000000004</v>
      </c>
    </row>
    <row r="73" spans="1:7" ht="15" customHeight="1" x14ac:dyDescent="0.2">
      <c r="A73" s="6" t="s">
        <v>57</v>
      </c>
      <c r="B73" s="6"/>
      <c r="C73" s="6"/>
      <c r="D73" s="6"/>
      <c r="E73" s="6"/>
      <c r="F73" s="6"/>
      <c r="G73" s="6"/>
    </row>
    <row r="74" spans="1:7" ht="15" customHeight="1" x14ac:dyDescent="0.2">
      <c r="A74" t="s">
        <v>58</v>
      </c>
      <c r="B74" s="13">
        <f>B41*0.025</f>
        <v>7125</v>
      </c>
      <c r="C74" s="13">
        <f>C41*0.025</f>
        <v>7980</v>
      </c>
      <c r="D74" s="13">
        <f>D41*0.025</f>
        <v>8937.6</v>
      </c>
      <c r="E74" s="13">
        <f>E41*0.025</f>
        <v>10010.099999999999</v>
      </c>
      <c r="F74" s="13">
        <f>F41*0.025</f>
        <v>11211.325000000003</v>
      </c>
    </row>
    <row r="75" spans="1:7" ht="15" customHeight="1" outlineLevel="1" x14ac:dyDescent="0.2">
      <c r="A75" t="s">
        <v>59</v>
      </c>
      <c r="B75" s="13">
        <f>B41*0.01</f>
        <v>2850</v>
      </c>
      <c r="C75" s="13">
        <f>C41*0.01</f>
        <v>3192</v>
      </c>
      <c r="D75" s="13">
        <f>D41*0.01</f>
        <v>3575.04</v>
      </c>
      <c r="E75" s="13">
        <f>E41*0.01</f>
        <v>4004.0399999999995</v>
      </c>
      <c r="F75" s="13">
        <f>F41*0.01</f>
        <v>4484.5300000000007</v>
      </c>
    </row>
    <row r="76" spans="1:7" ht="15" customHeight="1" outlineLevel="1" x14ac:dyDescent="0.2">
      <c r="A76" t="s">
        <v>60</v>
      </c>
      <c r="B76" s="13">
        <f>B41*0.005</f>
        <v>1425</v>
      </c>
      <c r="C76" s="13">
        <f>C41*0.005</f>
        <v>1596</v>
      </c>
      <c r="D76" s="13">
        <f>D41*0.005</f>
        <v>1787.52</v>
      </c>
      <c r="E76" s="13">
        <f>E41*0.005</f>
        <v>2002.0199999999998</v>
      </c>
      <c r="F76" s="13">
        <f>F41*0.005</f>
        <v>2242.2650000000003</v>
      </c>
    </row>
    <row r="77" spans="1:7" ht="15" customHeight="1" outlineLevel="1" x14ac:dyDescent="0.2">
      <c r="A77" s="8" t="s">
        <v>61</v>
      </c>
      <c r="B77" s="14">
        <f>SUM(B74:B76)</f>
        <v>11400</v>
      </c>
      <c r="C77" s="14">
        <f>SUM(C74:C76)</f>
        <v>12768</v>
      </c>
      <c r="D77" s="14">
        <f>SUM(D74:D76)</f>
        <v>14300.16</v>
      </c>
      <c r="E77" s="14">
        <f>SUM(E74:E76)</f>
        <v>16016.159999999998</v>
      </c>
      <c r="F77" s="14">
        <f>SUM(F74:F76)</f>
        <v>17938.120000000003</v>
      </c>
    </row>
    <row r="78" spans="1:7" ht="15" customHeight="1" x14ac:dyDescent="0.2">
      <c r="A78" s="6" t="s">
        <v>62</v>
      </c>
      <c r="B78" s="6"/>
      <c r="C78" s="6"/>
      <c r="D78" s="6"/>
      <c r="E78" s="6"/>
      <c r="F78" s="6"/>
      <c r="G78" s="6"/>
    </row>
    <row r="79" spans="1:7" ht="15" customHeight="1" x14ac:dyDescent="0.2">
      <c r="A79" t="s">
        <v>63</v>
      </c>
      <c r="B79" s="13">
        <f>B41*0.02</f>
        <v>5700</v>
      </c>
      <c r="C79" s="13">
        <f>C41*0.02</f>
        <v>6384</v>
      </c>
      <c r="D79" s="13">
        <f>D41*0.02</f>
        <v>7150.08</v>
      </c>
      <c r="E79" s="13">
        <f>E41*0.02</f>
        <v>8008.079999999999</v>
      </c>
      <c r="F79" s="13">
        <f>F41*0.02</f>
        <v>8969.0600000000013</v>
      </c>
    </row>
    <row r="80" spans="1:7" ht="15" customHeight="1" outlineLevel="1" x14ac:dyDescent="0.2">
      <c r="A80" t="s">
        <v>64</v>
      </c>
      <c r="B80" s="13">
        <f>B41*0.015</f>
        <v>4275</v>
      </c>
      <c r="C80" s="13">
        <f>C41*0.015</f>
        <v>4788</v>
      </c>
      <c r="D80" s="13">
        <f>D41*0.015</f>
        <v>5362.5599999999995</v>
      </c>
      <c r="E80" s="13">
        <f>E41*0.015</f>
        <v>6006.0599999999986</v>
      </c>
      <c r="F80" s="13">
        <f>F41*0.015</f>
        <v>6726.795000000001</v>
      </c>
    </row>
    <row r="81" spans="1:7" ht="15" customHeight="1" outlineLevel="1" x14ac:dyDescent="0.2">
      <c r="A81" t="s">
        <v>65</v>
      </c>
      <c r="B81" s="13">
        <f>B41*0.01</f>
        <v>2850</v>
      </c>
      <c r="C81" s="13">
        <f>C41*0.01</f>
        <v>3192</v>
      </c>
      <c r="D81" s="13">
        <f>D41*0.01</f>
        <v>3575.04</v>
      </c>
      <c r="E81" s="13">
        <f>E41*0.01</f>
        <v>4004.0399999999995</v>
      </c>
      <c r="F81" s="13">
        <f>F41*0.01</f>
        <v>4484.5300000000007</v>
      </c>
    </row>
    <row r="82" spans="1:7" ht="15" customHeight="1" outlineLevel="1" x14ac:dyDescent="0.2">
      <c r="A82" t="s">
        <v>66</v>
      </c>
      <c r="B82" s="13">
        <f>B41*0.008</f>
        <v>2280</v>
      </c>
      <c r="C82" s="13">
        <f>C41*0.008</f>
        <v>2553.6</v>
      </c>
      <c r="D82" s="13">
        <f>D41*0.008</f>
        <v>2860.0320000000002</v>
      </c>
      <c r="E82" s="13">
        <f>E41*0.008</f>
        <v>3203.2319999999995</v>
      </c>
      <c r="F82" s="13">
        <f>F41*0.008</f>
        <v>3587.6240000000007</v>
      </c>
    </row>
    <row r="83" spans="1:7" ht="15" customHeight="1" outlineLevel="1" x14ac:dyDescent="0.2">
      <c r="A83" t="s">
        <v>67</v>
      </c>
      <c r="B83" s="13">
        <f>B41*0.005</f>
        <v>1425</v>
      </c>
      <c r="C83" s="13">
        <f>C41*0.005</f>
        <v>1596</v>
      </c>
      <c r="D83" s="13">
        <f>D41*0.005</f>
        <v>1787.52</v>
      </c>
      <c r="E83" s="13">
        <f>E41*0.005</f>
        <v>2002.0199999999998</v>
      </c>
      <c r="F83" s="13">
        <f>F41*0.005</f>
        <v>2242.2650000000003</v>
      </c>
    </row>
    <row r="84" spans="1:7" ht="15" customHeight="1" outlineLevel="1" x14ac:dyDescent="0.2">
      <c r="A84" t="s">
        <v>68</v>
      </c>
      <c r="B84" s="13">
        <f>B41*0.002</f>
        <v>570</v>
      </c>
      <c r="C84" s="13">
        <f>C41*0.002</f>
        <v>638.4</v>
      </c>
      <c r="D84" s="13">
        <f>D41*0.002</f>
        <v>715.00800000000004</v>
      </c>
      <c r="E84" s="13">
        <f>E41*0.002</f>
        <v>800.80799999999988</v>
      </c>
      <c r="F84" s="13">
        <f>F41*0.002</f>
        <v>896.90600000000018</v>
      </c>
    </row>
    <row r="85" spans="1:7" ht="15" customHeight="1" outlineLevel="1" x14ac:dyDescent="0.2">
      <c r="A85" s="8" t="s">
        <v>69</v>
      </c>
      <c r="B85" s="14">
        <f>SUM(B79:B84)</f>
        <v>17100</v>
      </c>
      <c r="C85" s="14">
        <f>SUM(C79:C84)</f>
        <v>19152</v>
      </c>
      <c r="D85" s="14">
        <f>SUM(D79:D84)</f>
        <v>21450.240000000002</v>
      </c>
      <c r="E85" s="14">
        <f>SUM(E79:E84)</f>
        <v>24024.239999999998</v>
      </c>
      <c r="F85" s="14">
        <f>SUM(F79:F84)</f>
        <v>26907.18</v>
      </c>
    </row>
    <row r="86" spans="1:7" ht="15" customHeight="1" x14ac:dyDescent="0.2">
      <c r="A86" s="11" t="s">
        <v>70</v>
      </c>
      <c r="B86" s="12">
        <f>B72+B77+B85</f>
        <v>54150</v>
      </c>
      <c r="C86" s="12">
        <f>C72+C77+C85</f>
        <v>60648</v>
      </c>
      <c r="D86" s="12">
        <f>D72+D77+D85</f>
        <v>67925.760000000009</v>
      </c>
      <c r="E86" s="12">
        <f>E72+E77+E85</f>
        <v>76076.75999999998</v>
      </c>
      <c r="F86" s="12">
        <f>F72+F77+F85</f>
        <v>85206.07</v>
      </c>
    </row>
    <row r="88" spans="1:7" ht="15" customHeight="1" x14ac:dyDescent="0.2">
      <c r="A88" s="11" t="s">
        <v>71</v>
      </c>
      <c r="B88" s="15">
        <f>B63-B86</f>
        <v>35112</v>
      </c>
      <c r="C88" s="15">
        <f>C63-C86</f>
        <v>39325.440000000002</v>
      </c>
      <c r="D88" s="15">
        <f>D63-D86</f>
        <v>44044.492800000007</v>
      </c>
      <c r="E88" s="15">
        <f>E63-E86</f>
        <v>49329.772800000006</v>
      </c>
      <c r="F88" s="15">
        <f>F63-F86</f>
        <v>55249.409600000072</v>
      </c>
    </row>
    <row r="89" spans="1:7" ht="15" customHeight="1" x14ac:dyDescent="0.2">
      <c r="A89" t="s">
        <v>72</v>
      </c>
      <c r="B89" s="26">
        <f>B88/B41</f>
        <v>0.1232</v>
      </c>
      <c r="C89" s="26">
        <f>C88/C41</f>
        <v>0.1232</v>
      </c>
      <c r="D89" s="26">
        <f>D88/D41</f>
        <v>0.12320000000000002</v>
      </c>
      <c r="E89" s="26">
        <f>E88/E41</f>
        <v>0.12320000000000003</v>
      </c>
      <c r="F89" s="26">
        <f>F88/F41</f>
        <v>0.12320000000000014</v>
      </c>
    </row>
    <row r="91" spans="1:7" ht="15" customHeight="1" x14ac:dyDescent="0.2">
      <c r="A91" s="5" t="s">
        <v>73</v>
      </c>
      <c r="B91" s="5"/>
      <c r="C91" s="5"/>
      <c r="D91" s="5"/>
      <c r="E91" s="5"/>
      <c r="F91" s="5"/>
      <c r="G91" s="5"/>
    </row>
    <row r="92" spans="1:7" ht="15" customHeight="1" outlineLevel="1" x14ac:dyDescent="0.2">
      <c r="A92" t="s">
        <v>74</v>
      </c>
      <c r="B92" s="7">
        <v>-6400</v>
      </c>
      <c r="C92" s="7">
        <v>-6400</v>
      </c>
      <c r="D92" s="7">
        <v>-6400</v>
      </c>
      <c r="E92" s="7">
        <v>-6400</v>
      </c>
      <c r="F92" s="7">
        <v>-6400</v>
      </c>
    </row>
    <row r="93" spans="1:7" ht="15" customHeight="1" outlineLevel="1" x14ac:dyDescent="0.2">
      <c r="A93" t="s">
        <v>75</v>
      </c>
      <c r="B93" s="7">
        <v>280</v>
      </c>
      <c r="C93" s="7">
        <v>280</v>
      </c>
      <c r="D93" s="7">
        <v>280</v>
      </c>
      <c r="E93" s="7">
        <v>280</v>
      </c>
      <c r="F93" s="7">
        <v>280</v>
      </c>
    </row>
    <row r="94" spans="1:7" ht="15" customHeight="1" outlineLevel="1" x14ac:dyDescent="0.2">
      <c r="A94" t="s">
        <v>76</v>
      </c>
      <c r="B94" s="7">
        <v>-140</v>
      </c>
      <c r="C94" s="7">
        <v>-140</v>
      </c>
      <c r="D94" s="7">
        <v>-140</v>
      </c>
      <c r="E94" s="7">
        <v>-140</v>
      </c>
      <c r="F94" s="7">
        <v>-140</v>
      </c>
    </row>
    <row r="95" spans="1:7" ht="15" customHeight="1" x14ac:dyDescent="0.2">
      <c r="A95" s="8" t="s">
        <v>77</v>
      </c>
      <c r="B95" s="9">
        <f>SUM(B92:B94)</f>
        <v>-6260</v>
      </c>
      <c r="C95" s="9">
        <f>SUM(C92:C94)</f>
        <v>-6260</v>
      </c>
      <c r="D95" s="9">
        <f>SUM(D92:D94)</f>
        <v>-6260</v>
      </c>
      <c r="E95" s="9">
        <f>SUM(E92:E94)</f>
        <v>-6260</v>
      </c>
      <c r="F95" s="9">
        <f>SUM(F92:F94)</f>
        <v>-6260</v>
      </c>
    </row>
    <row r="97" spans="1:6" ht="15" customHeight="1" x14ac:dyDescent="0.2">
      <c r="A97" s="11" t="s">
        <v>78</v>
      </c>
      <c r="B97" s="16">
        <f>B88+B95</f>
        <v>28852</v>
      </c>
      <c r="C97" s="16">
        <f>C88+C95</f>
        <v>33065.440000000002</v>
      </c>
      <c r="D97" s="16">
        <f>D88+D95</f>
        <v>37784.492800000007</v>
      </c>
      <c r="E97" s="16">
        <f>E88+E95</f>
        <v>43069.772800000006</v>
      </c>
      <c r="F97" s="16">
        <f>F88+F95</f>
        <v>48989.409600000072</v>
      </c>
    </row>
    <row r="98" spans="1:6" ht="15" customHeight="1" x14ac:dyDescent="0.2">
      <c r="A98" t="s">
        <v>79</v>
      </c>
      <c r="B98" s="13">
        <f>B97*0.23</f>
        <v>6635.96</v>
      </c>
      <c r="C98" s="13">
        <f>C97*0.23</f>
        <v>7605.0512000000008</v>
      </c>
      <c r="D98" s="13">
        <f>D97*0.23</f>
        <v>8690.4333440000028</v>
      </c>
      <c r="E98" s="13">
        <f>E97*0.23</f>
        <v>9906.0477440000013</v>
      </c>
      <c r="F98" s="13">
        <f>F97*0.23</f>
        <v>11267.564208000016</v>
      </c>
    </row>
    <row r="99" spans="1:6" ht="15" customHeight="1" x14ac:dyDescent="0.2">
      <c r="A99" t="s">
        <v>80</v>
      </c>
      <c r="B99" s="26">
        <f>B98/B97</f>
        <v>0.23</v>
      </c>
      <c r="C99" s="26">
        <f>C98/C97</f>
        <v>0.23</v>
      </c>
      <c r="D99" s="26">
        <f>D98/D97</f>
        <v>0.23000000000000004</v>
      </c>
      <c r="E99" s="26">
        <f>E98/E97</f>
        <v>0.23</v>
      </c>
      <c r="F99" s="26">
        <f>F98/F97</f>
        <v>0.22999999999999998</v>
      </c>
    </row>
    <row r="101" spans="1:6" ht="15.75" customHeight="1" x14ac:dyDescent="0.2">
      <c r="A101" s="17" t="s">
        <v>81</v>
      </c>
      <c r="B101" s="18">
        <f>B97-B98</f>
        <v>22216.04</v>
      </c>
      <c r="C101" s="18">
        <f>C97-C98</f>
        <v>25460.388800000001</v>
      </c>
      <c r="D101" s="18">
        <f>D97-D98</f>
        <v>29094.059456000003</v>
      </c>
      <c r="E101" s="18">
        <f>E97-E98</f>
        <v>33163.725056000003</v>
      </c>
      <c r="F101" s="18">
        <f>F97-F98</f>
        <v>37721.845392000054</v>
      </c>
    </row>
    <row r="102" spans="1:6" ht="15" customHeight="1" x14ac:dyDescent="0.2">
      <c r="A102" t="s">
        <v>82</v>
      </c>
      <c r="B102" s="26">
        <f>B101/B41</f>
        <v>7.7951017543859649E-2</v>
      </c>
      <c r="C102" s="26">
        <f>C101/C41</f>
        <v>7.9763122807017542E-2</v>
      </c>
      <c r="D102" s="26">
        <f>D101/D41</f>
        <v>8.1381073934837095E-2</v>
      </c>
      <c r="E102" s="26">
        <f>E101/E41</f>
        <v>8.2825658724688084E-2</v>
      </c>
      <c r="F102" s="26">
        <f>F101/F41</f>
        <v>8.4115493467542976E-2</v>
      </c>
    </row>
  </sheetData>
  <mergeCells count="1">
    <mergeCell ref="A1:G1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5"/>
  <sheetViews>
    <sheetView zoomScaleNormal="100" workbookViewId="0">
      <selection sqref="A1:G1"/>
    </sheetView>
  </sheetViews>
  <sheetFormatPr baseColWidth="10" defaultColWidth="8.6640625" defaultRowHeight="15" outlineLevelRow="1" x14ac:dyDescent="0.2"/>
  <cols>
    <col min="1" max="1" width="44" customWidth="1"/>
    <col min="2" max="6" width="16" customWidth="1"/>
  </cols>
  <sheetData>
    <row r="1" spans="1:7" ht="17" x14ac:dyDescent="0.2">
      <c r="A1" s="1" t="s">
        <v>0</v>
      </c>
      <c r="B1" s="1"/>
      <c r="C1" s="1"/>
      <c r="D1" s="1"/>
      <c r="E1" s="1"/>
      <c r="F1" s="1"/>
      <c r="G1" s="1"/>
    </row>
    <row r="2" spans="1:7" x14ac:dyDescent="0.2">
      <c r="A2" s="19" t="s">
        <v>83</v>
      </c>
    </row>
    <row r="3" spans="1:7" x14ac:dyDescent="0.2">
      <c r="A3" s="3" t="s">
        <v>2</v>
      </c>
    </row>
    <row r="5" spans="1:7" x14ac:dyDescent="0.2"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</row>
    <row r="7" spans="1:7" ht="17" x14ac:dyDescent="0.2">
      <c r="A7" s="2" t="s">
        <v>84</v>
      </c>
      <c r="B7" s="2"/>
      <c r="C7" s="2"/>
      <c r="D7" s="2"/>
      <c r="E7" s="2"/>
      <c r="F7" s="2"/>
      <c r="G7" s="2"/>
    </row>
    <row r="8" spans="1:7" x14ac:dyDescent="0.2">
      <c r="A8" s="5" t="s">
        <v>85</v>
      </c>
      <c r="B8" s="5"/>
      <c r="C8" s="5"/>
      <c r="D8" s="5"/>
      <c r="E8" s="5"/>
      <c r="F8" s="5"/>
      <c r="G8" s="5"/>
    </row>
    <row r="9" spans="1:7" x14ac:dyDescent="0.2">
      <c r="A9" t="s">
        <v>86</v>
      </c>
      <c r="B9" s="20">
        <v>28500</v>
      </c>
      <c r="C9" s="20">
        <v>35200</v>
      </c>
      <c r="D9" s="20">
        <v>44100</v>
      </c>
      <c r="E9" s="20">
        <v>54800</v>
      </c>
      <c r="F9" s="20">
        <v>68400</v>
      </c>
    </row>
    <row r="10" spans="1:7" x14ac:dyDescent="0.2">
      <c r="A10" t="s">
        <v>87</v>
      </c>
      <c r="B10" s="7">
        <v>8000</v>
      </c>
      <c r="C10" s="7">
        <v>8000</v>
      </c>
      <c r="D10" s="7">
        <v>8000</v>
      </c>
      <c r="E10" s="7">
        <v>8000</v>
      </c>
      <c r="F10" s="7">
        <v>8000</v>
      </c>
    </row>
    <row r="11" spans="1:7" x14ac:dyDescent="0.2">
      <c r="A11" s="6" t="s">
        <v>88</v>
      </c>
      <c r="B11" s="6"/>
      <c r="C11" s="6"/>
      <c r="D11" s="6"/>
      <c r="E11" s="6"/>
      <c r="F11" s="6"/>
      <c r="G11" s="6"/>
    </row>
    <row r="12" spans="1:7" outlineLevel="1" x14ac:dyDescent="0.2">
      <c r="A12" t="s">
        <v>89</v>
      </c>
      <c r="B12" s="20">
        <f>'Income Statement'!B32*0.16</f>
        <v>32832</v>
      </c>
      <c r="C12" s="20">
        <f>'Income Statement'!C32*0.16</f>
        <v>36771.840000000004</v>
      </c>
      <c r="D12" s="20">
        <f>'Income Statement'!D32*0.16</f>
        <v>41184.460800000001</v>
      </c>
      <c r="E12" s="20">
        <f>'Income Statement'!E32*0.16</f>
        <v>46126.540799999995</v>
      </c>
      <c r="F12" s="20">
        <f>'Income Statement'!F32*0.16</f>
        <v>51661.785600000003</v>
      </c>
    </row>
    <row r="13" spans="1:7" outlineLevel="1" x14ac:dyDescent="0.2">
      <c r="A13" t="s">
        <v>90</v>
      </c>
      <c r="B13" s="20">
        <f>'Income Statement'!B39*0.12</f>
        <v>9576</v>
      </c>
      <c r="C13" s="20">
        <f>'Income Statement'!C39*0.12</f>
        <v>10725.119999999999</v>
      </c>
      <c r="D13" s="20">
        <f>'Income Statement'!D39*0.12</f>
        <v>12012.134399999999</v>
      </c>
      <c r="E13" s="20">
        <f>'Income Statement'!E39*0.12</f>
        <v>13453.5744</v>
      </c>
      <c r="F13" s="20">
        <f>'Income Statement'!F39*0.12</f>
        <v>15068.0208</v>
      </c>
    </row>
    <row r="14" spans="1:7" outlineLevel="1" x14ac:dyDescent="0.2">
      <c r="A14" t="s">
        <v>91</v>
      </c>
      <c r="B14" s="20">
        <f>-(B12+B13)*0.015</f>
        <v>-636.12</v>
      </c>
      <c r="C14" s="20">
        <f>-(C12+C13)*0.015</f>
        <v>-712.45440000000008</v>
      </c>
      <c r="D14" s="20">
        <f>-(D12+D13)*0.015</f>
        <v>-797.94892799999991</v>
      </c>
      <c r="E14" s="20">
        <f>-(E12+E13)*0.015</f>
        <v>-893.70172799999989</v>
      </c>
      <c r="F14" s="20">
        <f>-(F12+F13)*0.015</f>
        <v>-1000.947096</v>
      </c>
    </row>
    <row r="15" spans="1:7" x14ac:dyDescent="0.2">
      <c r="A15" s="8" t="s">
        <v>92</v>
      </c>
      <c r="B15" s="9">
        <f>SUM(B12:B14)</f>
        <v>41771.879999999997</v>
      </c>
      <c r="C15" s="9">
        <f>SUM(C12:C14)</f>
        <v>46784.505600000004</v>
      </c>
      <c r="D15" s="9">
        <f>SUM(D12:D14)</f>
        <v>52398.646271999998</v>
      </c>
      <c r="E15" s="9">
        <f>SUM(E12:E14)</f>
        <v>58686.413471999993</v>
      </c>
      <c r="F15" s="9">
        <f>SUM(F12:F14)</f>
        <v>65728.859303999998</v>
      </c>
    </row>
    <row r="16" spans="1:7" x14ac:dyDescent="0.2">
      <c r="A16" s="6" t="s">
        <v>93</v>
      </c>
      <c r="B16" s="6"/>
      <c r="C16" s="6"/>
      <c r="D16" s="6"/>
      <c r="E16" s="6"/>
      <c r="F16" s="6"/>
      <c r="G16" s="6"/>
    </row>
    <row r="17" spans="1:7" outlineLevel="1" x14ac:dyDescent="0.2">
      <c r="A17" t="s">
        <v>94</v>
      </c>
      <c r="B17" s="20">
        <f>'Income Statement'!B54*0.28</f>
        <v>42517.440000000002</v>
      </c>
      <c r="C17" s="20">
        <f>'Income Statement'!C54*0.28</f>
        <v>47619.532800000001</v>
      </c>
      <c r="D17" s="20">
        <f>'Income Statement'!D54*0.28</f>
        <v>53333.876736000006</v>
      </c>
      <c r="E17" s="20">
        <f>'Income Statement'!E54*0.28</f>
        <v>59733.870335999993</v>
      </c>
      <c r="F17" s="20">
        <f>'Income Statement'!F54*0.28</f>
        <v>66902.012352000005</v>
      </c>
    </row>
    <row r="18" spans="1:7" outlineLevel="1" x14ac:dyDescent="0.2">
      <c r="A18" t="s">
        <v>95</v>
      </c>
      <c r="B18" s="20">
        <f>'Income Statement'!B54*0.15</f>
        <v>22777.200000000001</v>
      </c>
      <c r="C18" s="20">
        <f>'Income Statement'!C54*0.15</f>
        <v>25510.463999999996</v>
      </c>
      <c r="D18" s="20">
        <f>'Income Statement'!D54*0.15</f>
        <v>28571.719679999998</v>
      </c>
      <c r="E18" s="20">
        <f>'Income Statement'!E54*0.15</f>
        <v>32000.28767999999</v>
      </c>
      <c r="F18" s="20">
        <f>'Income Statement'!F54*0.15</f>
        <v>35840.36376</v>
      </c>
    </row>
    <row r="19" spans="1:7" outlineLevel="1" x14ac:dyDescent="0.2">
      <c r="A19" t="s">
        <v>96</v>
      </c>
      <c r="B19" s="20">
        <f>'Income Statement'!B54*0.22</f>
        <v>33406.559999999998</v>
      </c>
      <c r="C19" s="20">
        <f>'Income Statement'!C54*0.22</f>
        <v>37415.347199999997</v>
      </c>
      <c r="D19" s="20">
        <f>'Income Statement'!D54*0.22</f>
        <v>41905.188864000003</v>
      </c>
      <c r="E19" s="20">
        <f>'Income Statement'!E54*0.22</f>
        <v>46933.755263999985</v>
      </c>
      <c r="F19" s="20">
        <f>'Income Statement'!F54*0.22</f>
        <v>52565.866847999998</v>
      </c>
    </row>
    <row r="20" spans="1:7" outlineLevel="1" x14ac:dyDescent="0.2">
      <c r="A20" t="s">
        <v>97</v>
      </c>
      <c r="B20" s="20">
        <f>'Income Statement'!B60*0.45</f>
        <v>19750.5</v>
      </c>
      <c r="C20" s="20">
        <f>'Income Statement'!C60*0.45</f>
        <v>22120.560000000005</v>
      </c>
      <c r="D20" s="20">
        <f>'Income Statement'!D60*0.45</f>
        <v>24775.027199999997</v>
      </c>
      <c r="E20" s="20">
        <f>'Income Statement'!E60*0.45</f>
        <v>27747.997200000002</v>
      </c>
      <c r="F20" s="20">
        <f>'Income Statement'!F60*0.45</f>
        <v>31077.7929</v>
      </c>
    </row>
    <row r="21" spans="1:7" x14ac:dyDescent="0.2">
      <c r="A21" s="8" t="s">
        <v>98</v>
      </c>
      <c r="B21" s="9">
        <f>SUM(B17:B20)</f>
        <v>118451.7</v>
      </c>
      <c r="C21" s="9">
        <f>SUM(C17:C20)</f>
        <v>132665.90399999998</v>
      </c>
      <c r="D21" s="9">
        <f>SUM(D17:D20)</f>
        <v>148585.81248000002</v>
      </c>
      <c r="E21" s="9">
        <f>SUM(E17:E20)</f>
        <v>166415.91047999999</v>
      </c>
      <c r="F21" s="9">
        <f>SUM(F17:F20)</f>
        <v>186386.03586</v>
      </c>
    </row>
    <row r="22" spans="1:7" x14ac:dyDescent="0.2">
      <c r="A22" t="s">
        <v>99</v>
      </c>
      <c r="B22" s="20">
        <f>'Income Statement'!B86*0.05</f>
        <v>2707.5</v>
      </c>
      <c r="C22" s="20">
        <f>'Income Statement'!C86*0.05</f>
        <v>3032.4</v>
      </c>
      <c r="D22" s="20">
        <f>'Income Statement'!D86*0.05</f>
        <v>3396.2880000000005</v>
      </c>
      <c r="E22" s="20">
        <f>'Income Statement'!E86*0.05</f>
        <v>3803.8379999999993</v>
      </c>
      <c r="F22" s="20">
        <f>'Income Statement'!F86*0.05</f>
        <v>4260.3035000000009</v>
      </c>
    </row>
    <row r="23" spans="1:7" x14ac:dyDescent="0.2">
      <c r="A23" s="8" t="s">
        <v>100</v>
      </c>
      <c r="B23" s="21">
        <f>B9+B10+B15+B21+B22</f>
        <v>199431.08000000002</v>
      </c>
      <c r="C23" s="21">
        <f>C9+C10+C15+C21+C22</f>
        <v>225682.80959999998</v>
      </c>
      <c r="D23" s="21">
        <f>D9+D10+D15+D21+D22</f>
        <v>256480.74675200001</v>
      </c>
      <c r="E23" s="21">
        <f>E9+E10+E15+E21+E22</f>
        <v>291706.16195199999</v>
      </c>
      <c r="F23" s="21">
        <f>F9+F10+F15+F21+F22</f>
        <v>332775.19866399997</v>
      </c>
    </row>
    <row r="25" spans="1:7" x14ac:dyDescent="0.2">
      <c r="A25" s="5" t="s">
        <v>101</v>
      </c>
      <c r="B25" s="5"/>
      <c r="C25" s="5"/>
      <c r="D25" s="5"/>
      <c r="E25" s="5"/>
      <c r="F25" s="5"/>
      <c r="G25" s="5"/>
    </row>
    <row r="26" spans="1:7" x14ac:dyDescent="0.2">
      <c r="A26" t="s">
        <v>102</v>
      </c>
      <c r="B26" s="7">
        <v>85000</v>
      </c>
      <c r="C26" s="7">
        <v>89000</v>
      </c>
      <c r="D26" s="7">
        <v>93000</v>
      </c>
      <c r="E26" s="7">
        <v>97000</v>
      </c>
      <c r="F26" s="7">
        <v>101000</v>
      </c>
    </row>
    <row r="27" spans="1:7" x14ac:dyDescent="0.2">
      <c r="A27" t="s">
        <v>103</v>
      </c>
      <c r="B27" s="7">
        <v>62000</v>
      </c>
      <c r="C27" s="7">
        <v>68500</v>
      </c>
      <c r="D27" s="7">
        <v>75000</v>
      </c>
      <c r="E27" s="7">
        <v>82000</v>
      </c>
      <c r="F27" s="7">
        <v>89500</v>
      </c>
    </row>
    <row r="28" spans="1:7" x14ac:dyDescent="0.2">
      <c r="A28" t="s">
        <v>104</v>
      </c>
      <c r="B28" s="7">
        <v>28000</v>
      </c>
      <c r="C28" s="7">
        <v>30000</v>
      </c>
      <c r="D28" s="7">
        <v>32000</v>
      </c>
      <c r="E28" s="7">
        <v>34500</v>
      </c>
      <c r="F28" s="7">
        <v>37000</v>
      </c>
    </row>
    <row r="29" spans="1:7" x14ac:dyDescent="0.2">
      <c r="A29" t="s">
        <v>105</v>
      </c>
      <c r="B29" s="7">
        <v>12000</v>
      </c>
      <c r="C29" s="7">
        <v>13500</v>
      </c>
      <c r="D29" s="7">
        <v>15000</v>
      </c>
      <c r="E29" s="7">
        <v>16800</v>
      </c>
      <c r="F29" s="7">
        <v>18600</v>
      </c>
    </row>
    <row r="30" spans="1:7" x14ac:dyDescent="0.2">
      <c r="A30" s="8" t="s">
        <v>106</v>
      </c>
      <c r="B30" s="9">
        <f>SUM(B26:B29)</f>
        <v>187000</v>
      </c>
      <c r="C30" s="9">
        <f>SUM(C26:C29)</f>
        <v>201000</v>
      </c>
      <c r="D30" s="9">
        <f>SUM(D26:D29)</f>
        <v>215000</v>
      </c>
      <c r="E30" s="9">
        <f>SUM(E26:E29)</f>
        <v>230300</v>
      </c>
      <c r="F30" s="9">
        <f>SUM(F26:F29)</f>
        <v>246100</v>
      </c>
    </row>
    <row r="31" spans="1:7" x14ac:dyDescent="0.2">
      <c r="A31" t="s">
        <v>107</v>
      </c>
      <c r="B31" s="13">
        <f>-B30*0.32</f>
        <v>-59840</v>
      </c>
      <c r="C31" s="13">
        <f>-C30*0.32</f>
        <v>-64320</v>
      </c>
      <c r="D31" s="13">
        <f>-D30*0.32</f>
        <v>-68800</v>
      </c>
      <c r="E31" s="13">
        <f>-E30*0.32</f>
        <v>-73696</v>
      </c>
      <c r="F31" s="13">
        <f>-F30*0.32</f>
        <v>-78752</v>
      </c>
    </row>
    <row r="32" spans="1:7" x14ac:dyDescent="0.2">
      <c r="A32" s="8" t="s">
        <v>108</v>
      </c>
      <c r="B32" s="9">
        <f>B30+B31</f>
        <v>127160</v>
      </c>
      <c r="C32" s="9">
        <f>C30+C31</f>
        <v>136680</v>
      </c>
      <c r="D32" s="9">
        <f>D30+D31</f>
        <v>146200</v>
      </c>
      <c r="E32" s="9">
        <f>E30+E31</f>
        <v>156604</v>
      </c>
      <c r="F32" s="9">
        <f>F30+F31</f>
        <v>167348</v>
      </c>
    </row>
    <row r="33" spans="1:7" x14ac:dyDescent="0.2">
      <c r="A33" s="8" t="s">
        <v>109</v>
      </c>
      <c r="B33" s="7">
        <v>4200</v>
      </c>
      <c r="C33" s="7">
        <v>4200</v>
      </c>
      <c r="D33" s="7">
        <v>4200</v>
      </c>
      <c r="E33" s="7">
        <v>4200</v>
      </c>
      <c r="F33" s="7">
        <v>4200</v>
      </c>
    </row>
    <row r="34" spans="1:7" ht="16" x14ac:dyDescent="0.2">
      <c r="A34" s="11" t="s">
        <v>110</v>
      </c>
      <c r="B34" s="15">
        <f>B23+B32+B33</f>
        <v>330791.08</v>
      </c>
      <c r="C34" s="15">
        <f>C23+C32+C33</f>
        <v>366562.80959999998</v>
      </c>
      <c r="D34" s="15">
        <f>D23+D32+D33</f>
        <v>406880.74675200001</v>
      </c>
      <c r="E34" s="15">
        <f>E23+E32+E33</f>
        <v>452510.16195199999</v>
      </c>
      <c r="F34" s="15">
        <f>F23+F32+F33</f>
        <v>504323.19866399997</v>
      </c>
    </row>
    <row r="36" spans="1:7" ht="17" x14ac:dyDescent="0.2">
      <c r="A36" s="2" t="s">
        <v>111</v>
      </c>
      <c r="B36" s="2"/>
      <c r="C36" s="2"/>
      <c r="D36" s="2"/>
      <c r="E36" s="2"/>
      <c r="F36" s="2"/>
      <c r="G36" s="2"/>
    </row>
    <row r="37" spans="1:7" x14ac:dyDescent="0.2">
      <c r="A37" s="5" t="s">
        <v>112</v>
      </c>
      <c r="B37" s="5"/>
      <c r="C37" s="5"/>
      <c r="D37" s="5"/>
      <c r="E37" s="5"/>
      <c r="F37" s="5"/>
      <c r="G37" s="5"/>
    </row>
    <row r="38" spans="1:7" x14ac:dyDescent="0.2">
      <c r="A38" t="s">
        <v>113</v>
      </c>
      <c r="B38" s="20">
        <f>'Income Statement'!B61*0.14</f>
        <v>27403.320000000003</v>
      </c>
      <c r="C38" s="20">
        <f>'Income Statement'!C61*0.14</f>
        <v>30691.718400000002</v>
      </c>
      <c r="D38" s="20">
        <f>'Income Statement'!D61*0.14</f>
        <v>34374.724608000004</v>
      </c>
      <c r="E38" s="20">
        <f>'Income Statement'!E61*0.14</f>
        <v>38499.645407999997</v>
      </c>
      <c r="F38" s="20">
        <f>'Income Statement'!F61*0.14</f>
        <v>43119.652856000001</v>
      </c>
    </row>
    <row r="39" spans="1:7" x14ac:dyDescent="0.2">
      <c r="A39" t="s">
        <v>114</v>
      </c>
      <c r="B39" s="20">
        <f>'Income Statement'!B86*0.08</f>
        <v>4332</v>
      </c>
      <c r="C39" s="20">
        <f>'Income Statement'!C86*0.08</f>
        <v>4851.84</v>
      </c>
      <c r="D39" s="20">
        <f>'Income Statement'!D86*0.08</f>
        <v>5434.0608000000011</v>
      </c>
      <c r="E39" s="20">
        <f>'Income Statement'!E86*0.08</f>
        <v>6086.1407999999983</v>
      </c>
      <c r="F39" s="20">
        <f>'Income Statement'!F86*0.08</f>
        <v>6816.4856000000009</v>
      </c>
    </row>
    <row r="40" spans="1:7" x14ac:dyDescent="0.2">
      <c r="A40" t="s">
        <v>115</v>
      </c>
      <c r="B40" s="20">
        <f>'Income Statement'!B32*0.02</f>
        <v>4104</v>
      </c>
      <c r="C40" s="20">
        <f>'Income Statement'!C32*0.02</f>
        <v>4596.4800000000005</v>
      </c>
      <c r="D40" s="20">
        <f>'Income Statement'!D32*0.02</f>
        <v>5148.0576000000001</v>
      </c>
      <c r="E40" s="20">
        <f>'Income Statement'!E32*0.02</f>
        <v>5765.8175999999994</v>
      </c>
      <c r="F40" s="20">
        <f>'Income Statement'!F32*0.02</f>
        <v>6457.7232000000004</v>
      </c>
    </row>
    <row r="41" spans="1:7" x14ac:dyDescent="0.2">
      <c r="A41" t="s">
        <v>116</v>
      </c>
      <c r="B41" s="7">
        <v>8000</v>
      </c>
      <c r="C41" s="7">
        <v>8000</v>
      </c>
      <c r="D41" s="7">
        <v>8000</v>
      </c>
      <c r="E41" s="7">
        <v>8000</v>
      </c>
      <c r="F41" s="7">
        <v>8000</v>
      </c>
    </row>
    <row r="42" spans="1:7" x14ac:dyDescent="0.2">
      <c r="A42" s="8" t="s">
        <v>117</v>
      </c>
      <c r="B42" s="21">
        <f>SUM(B38:B41)</f>
        <v>43839.320000000007</v>
      </c>
      <c r="C42" s="21">
        <f>SUM(C38:C41)</f>
        <v>48140.038400000005</v>
      </c>
      <c r="D42" s="21">
        <f>SUM(D38:D41)</f>
        <v>52956.843008000003</v>
      </c>
      <c r="E42" s="21">
        <f>SUM(E38:E41)</f>
        <v>58351.603808</v>
      </c>
      <c r="F42" s="21">
        <f>SUM(F38:F41)</f>
        <v>64393.861656000001</v>
      </c>
    </row>
    <row r="44" spans="1:7" x14ac:dyDescent="0.2">
      <c r="A44" s="8" t="s">
        <v>118</v>
      </c>
      <c r="B44" s="7">
        <v>92000</v>
      </c>
      <c r="C44" s="7">
        <v>84000</v>
      </c>
      <c r="D44" s="7">
        <v>76000</v>
      </c>
      <c r="E44" s="7">
        <v>68000</v>
      </c>
      <c r="F44" s="7">
        <v>60000</v>
      </c>
    </row>
    <row r="45" spans="1:7" x14ac:dyDescent="0.2">
      <c r="A45" s="8" t="s">
        <v>119</v>
      </c>
      <c r="B45" s="7">
        <v>6800</v>
      </c>
      <c r="C45" s="7">
        <v>6800</v>
      </c>
      <c r="D45" s="7">
        <v>6800</v>
      </c>
      <c r="E45" s="7">
        <v>6800</v>
      </c>
      <c r="F45" s="7">
        <v>6800</v>
      </c>
    </row>
    <row r="46" spans="1:7" x14ac:dyDescent="0.2">
      <c r="A46" s="8" t="s">
        <v>120</v>
      </c>
      <c r="B46" s="21">
        <f>B42+B44+B45</f>
        <v>142639.32</v>
      </c>
      <c r="C46" s="21">
        <f>C42+C44+C45</f>
        <v>138940.03840000002</v>
      </c>
      <c r="D46" s="21">
        <f>D42+D44+D45</f>
        <v>135756.843008</v>
      </c>
      <c r="E46" s="21">
        <f>E42+E44+E45</f>
        <v>133151.60380799999</v>
      </c>
      <c r="F46" s="21">
        <f>F42+F44+F45</f>
        <v>131193.86165599999</v>
      </c>
    </row>
    <row r="48" spans="1:7" x14ac:dyDescent="0.2">
      <c r="A48" s="5" t="s">
        <v>121</v>
      </c>
      <c r="B48" s="5"/>
      <c r="C48" s="5"/>
      <c r="D48" s="5"/>
      <c r="E48" s="5"/>
      <c r="F48" s="5"/>
      <c r="G48" s="5"/>
    </row>
    <row r="49" spans="1:6" x14ac:dyDescent="0.2">
      <c r="A49" t="s">
        <v>122</v>
      </c>
      <c r="B49" s="7">
        <v>15000</v>
      </c>
      <c r="C49" s="7">
        <v>15000</v>
      </c>
      <c r="D49" s="7">
        <v>15000</v>
      </c>
      <c r="E49" s="7">
        <v>15000</v>
      </c>
      <c r="F49" s="7">
        <v>15000</v>
      </c>
    </row>
    <row r="50" spans="1:6" x14ac:dyDescent="0.2">
      <c r="A50" t="s">
        <v>123</v>
      </c>
      <c r="B50" s="7">
        <v>45000</v>
      </c>
      <c r="C50" s="20">
        <f>B50+'Income Statement'!C101</f>
        <v>70460.388800000001</v>
      </c>
      <c r="D50" s="20">
        <f>C50+'Income Statement'!D101</f>
        <v>99554.448256000003</v>
      </c>
      <c r="E50" s="20">
        <f>D50+'Income Statement'!E101</f>
        <v>132718.173312</v>
      </c>
      <c r="F50" s="20">
        <f>E50+'Income Statement'!F101</f>
        <v>170440.01870400005</v>
      </c>
    </row>
    <row r="51" spans="1:6" x14ac:dyDescent="0.2">
      <c r="A51" s="8" t="s">
        <v>124</v>
      </c>
      <c r="B51" s="22">
        <f>SUM(B49:B50)</f>
        <v>60000</v>
      </c>
      <c r="C51" s="22">
        <f>SUM(C49:C50)</f>
        <v>85460.388800000001</v>
      </c>
      <c r="D51" s="22">
        <f>SUM(D49:D50)</f>
        <v>114554.448256</v>
      </c>
      <c r="E51" s="22">
        <f>SUM(E49:E50)</f>
        <v>147718.173312</v>
      </c>
      <c r="F51" s="22">
        <f>SUM(F49:F50)</f>
        <v>185440.01870400005</v>
      </c>
    </row>
    <row r="53" spans="1:6" ht="16" x14ac:dyDescent="0.2">
      <c r="A53" s="11" t="s">
        <v>125</v>
      </c>
      <c r="B53" s="15">
        <f>B46+B51</f>
        <v>202639.32</v>
      </c>
      <c r="C53" s="15">
        <f>C46+C51</f>
        <v>224400.42720000003</v>
      </c>
      <c r="D53" s="15">
        <f>D46+D51</f>
        <v>250311.291264</v>
      </c>
      <c r="E53" s="15">
        <f>E46+E51</f>
        <v>280869.77711999998</v>
      </c>
      <c r="F53" s="15">
        <f>F46+F51</f>
        <v>316633.88036000007</v>
      </c>
    </row>
    <row r="55" spans="1:6" x14ac:dyDescent="0.2">
      <c r="A55" s="23" t="s">
        <v>126</v>
      </c>
      <c r="B55" s="24">
        <f>B34-B53</f>
        <v>128151.76000000001</v>
      </c>
      <c r="C55" s="24">
        <f>C34-C53</f>
        <v>142162.38239999994</v>
      </c>
      <c r="D55" s="24">
        <f>D34-D53</f>
        <v>156569.45548800001</v>
      </c>
      <c r="E55" s="24">
        <f>E34-E53</f>
        <v>171640.38483200001</v>
      </c>
      <c r="F55" s="24">
        <f>F34-F53</f>
        <v>187689.3183039999</v>
      </c>
    </row>
  </sheetData>
  <mergeCells count="1">
    <mergeCell ref="A1:G1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9"/>
  <sheetViews>
    <sheetView zoomScaleNormal="100" workbookViewId="0">
      <selection sqref="A1:G1"/>
    </sheetView>
  </sheetViews>
  <sheetFormatPr baseColWidth="10" defaultColWidth="8.6640625" defaultRowHeight="15" outlineLevelRow="1" x14ac:dyDescent="0.2"/>
  <cols>
    <col min="1" max="1" width="44" customWidth="1"/>
    <col min="2" max="6" width="16" customWidth="1"/>
  </cols>
  <sheetData>
    <row r="1" spans="1:7" ht="17" x14ac:dyDescent="0.2">
      <c r="A1" s="1" t="s">
        <v>0</v>
      </c>
      <c r="B1" s="1"/>
      <c r="C1" s="1"/>
      <c r="D1" s="1"/>
      <c r="E1" s="1"/>
      <c r="F1" s="1"/>
      <c r="G1" s="1"/>
    </row>
    <row r="2" spans="1:7" x14ac:dyDescent="0.2">
      <c r="A2" s="19" t="s">
        <v>127</v>
      </c>
    </row>
    <row r="3" spans="1:7" x14ac:dyDescent="0.2">
      <c r="A3" s="3" t="s">
        <v>2</v>
      </c>
    </row>
    <row r="5" spans="1:7" x14ac:dyDescent="0.2"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</row>
    <row r="7" spans="1:7" x14ac:dyDescent="0.2">
      <c r="A7" s="5" t="s">
        <v>128</v>
      </c>
      <c r="B7" s="5"/>
      <c r="C7" s="5"/>
      <c r="D7" s="5"/>
      <c r="E7" s="5"/>
      <c r="F7" s="5"/>
      <c r="G7" s="5"/>
    </row>
    <row r="8" spans="1:7" x14ac:dyDescent="0.2">
      <c r="A8" t="s">
        <v>129</v>
      </c>
      <c r="B8" s="20">
        <f>'Income Statement'!B101</f>
        <v>22216.04</v>
      </c>
      <c r="C8" s="20">
        <f>'Income Statement'!C101</f>
        <v>25460.388800000001</v>
      </c>
      <c r="D8" s="20">
        <f>'Income Statement'!D101</f>
        <v>29094.059456000003</v>
      </c>
      <c r="E8" s="20">
        <f>'Income Statement'!E101</f>
        <v>33163.725056000003</v>
      </c>
      <c r="F8" s="20">
        <f>'Income Statement'!F101</f>
        <v>37721.845392000054</v>
      </c>
    </row>
    <row r="9" spans="1:7" outlineLevel="1" x14ac:dyDescent="0.2">
      <c r="A9" s="6" t="s">
        <v>130</v>
      </c>
      <c r="B9" s="6"/>
      <c r="C9" s="6"/>
      <c r="D9" s="6"/>
      <c r="E9" s="6"/>
      <c r="F9" s="6"/>
      <c r="G9" s="6"/>
    </row>
    <row r="10" spans="1:7" outlineLevel="1" x14ac:dyDescent="0.2">
      <c r="A10" t="s">
        <v>131</v>
      </c>
      <c r="B10" s="20">
        <f>-'Balance Sheet'!B31</f>
        <v>59840</v>
      </c>
      <c r="C10" s="20">
        <f>-'Balance Sheet'!C31</f>
        <v>64320</v>
      </c>
      <c r="D10" s="20">
        <f>-'Balance Sheet'!D31</f>
        <v>68800</v>
      </c>
      <c r="E10" s="20">
        <f>-'Balance Sheet'!E31</f>
        <v>73696</v>
      </c>
      <c r="F10" s="20">
        <f>-'Balance Sheet'!F31</f>
        <v>78752</v>
      </c>
    </row>
    <row r="11" spans="1:7" outlineLevel="1" x14ac:dyDescent="0.2">
      <c r="A11" t="s">
        <v>132</v>
      </c>
      <c r="B11" s="7">
        <v>450</v>
      </c>
      <c r="C11" s="7">
        <v>450</v>
      </c>
      <c r="D11" s="7">
        <v>450</v>
      </c>
      <c r="E11" s="7">
        <v>450</v>
      </c>
      <c r="F11" s="7">
        <v>450</v>
      </c>
    </row>
    <row r="12" spans="1:7" outlineLevel="1" x14ac:dyDescent="0.2">
      <c r="A12" s="6" t="s">
        <v>133</v>
      </c>
      <c r="B12" s="6"/>
      <c r="C12" s="6"/>
      <c r="D12" s="6"/>
      <c r="E12" s="6"/>
      <c r="F12" s="6"/>
      <c r="G12" s="6"/>
    </row>
    <row r="13" spans="1:7" outlineLevel="1" x14ac:dyDescent="0.2">
      <c r="A13" t="s">
        <v>134</v>
      </c>
      <c r="B13" s="25">
        <v>0</v>
      </c>
      <c r="C13" s="20">
        <f>-('Balance Sheet'!C15-'Balance Sheet'!B15)</f>
        <v>-5012.6256000000067</v>
      </c>
      <c r="D13" s="20">
        <f>-('Balance Sheet'!D15-'Balance Sheet'!C15)</f>
        <v>-5614.1406719999941</v>
      </c>
      <c r="E13" s="20">
        <f>-('Balance Sheet'!E15-'Balance Sheet'!D15)</f>
        <v>-6287.7671999999948</v>
      </c>
      <c r="F13" s="20">
        <f>-('Balance Sheet'!F15-'Balance Sheet'!E15)</f>
        <v>-7042.4458320000049</v>
      </c>
    </row>
    <row r="14" spans="1:7" outlineLevel="1" x14ac:dyDescent="0.2">
      <c r="A14" t="s">
        <v>135</v>
      </c>
      <c r="B14" s="25">
        <v>0</v>
      </c>
      <c r="C14" s="20">
        <f>-('Balance Sheet'!C21-'Balance Sheet'!B21)</f>
        <v>-14214.203999999983</v>
      </c>
      <c r="D14" s="20">
        <f>-('Balance Sheet'!D21-'Balance Sheet'!C21)</f>
        <v>-15919.908480000042</v>
      </c>
      <c r="E14" s="20">
        <f>-('Balance Sheet'!E21-'Balance Sheet'!D21)</f>
        <v>-17830.097999999969</v>
      </c>
      <c r="F14" s="20">
        <f>-('Balance Sheet'!F21-'Balance Sheet'!E21)</f>
        <v>-19970.125380000012</v>
      </c>
    </row>
    <row r="15" spans="1:7" outlineLevel="1" x14ac:dyDescent="0.2">
      <c r="A15" t="s">
        <v>136</v>
      </c>
      <c r="B15" s="25">
        <v>0</v>
      </c>
      <c r="C15" s="20">
        <f>-('Balance Sheet'!C22-'Balance Sheet'!B22)</f>
        <v>-324.90000000000009</v>
      </c>
      <c r="D15" s="20">
        <f>-('Balance Sheet'!D22-'Balance Sheet'!C22)</f>
        <v>-363.88800000000037</v>
      </c>
      <c r="E15" s="20">
        <f>-('Balance Sheet'!E22-'Balance Sheet'!D22)</f>
        <v>-407.54999999999882</v>
      </c>
      <c r="F15" s="20">
        <f>-('Balance Sheet'!F22-'Balance Sheet'!E22)</f>
        <v>-456.46550000000161</v>
      </c>
    </row>
    <row r="16" spans="1:7" outlineLevel="1" x14ac:dyDescent="0.2">
      <c r="A16" t="s">
        <v>137</v>
      </c>
      <c r="B16" s="25">
        <v>0</v>
      </c>
      <c r="C16" s="20">
        <f>'Balance Sheet'!C38-'Balance Sheet'!B38</f>
        <v>3288.3983999999982</v>
      </c>
      <c r="D16" s="20">
        <f>'Balance Sheet'!D38-'Balance Sheet'!C38</f>
        <v>3683.0062080000025</v>
      </c>
      <c r="E16" s="20">
        <f>'Balance Sheet'!E38-'Balance Sheet'!D38</f>
        <v>4124.9207999999926</v>
      </c>
      <c r="F16" s="20">
        <f>'Balance Sheet'!F38-'Balance Sheet'!E38</f>
        <v>4620.0074480000039</v>
      </c>
    </row>
    <row r="17" spans="1:7" outlineLevel="1" x14ac:dyDescent="0.2">
      <c r="A17" t="s">
        <v>138</v>
      </c>
      <c r="B17" s="25">
        <v>0</v>
      </c>
      <c r="C17" s="20">
        <f>'Balance Sheet'!C39-'Balance Sheet'!B39</f>
        <v>519.84000000000015</v>
      </c>
      <c r="D17" s="20">
        <f>'Balance Sheet'!D39-'Balance Sheet'!C39</f>
        <v>582.22080000000096</v>
      </c>
      <c r="E17" s="20">
        <f>'Balance Sheet'!E39-'Balance Sheet'!D39</f>
        <v>652.0799999999972</v>
      </c>
      <c r="F17" s="20">
        <f>'Balance Sheet'!F39-'Balance Sheet'!E39</f>
        <v>730.34480000000258</v>
      </c>
    </row>
    <row r="18" spans="1:7" outlineLevel="1" x14ac:dyDescent="0.2">
      <c r="A18" t="s">
        <v>139</v>
      </c>
      <c r="B18" s="25">
        <v>0</v>
      </c>
      <c r="C18" s="20">
        <f>'Balance Sheet'!C40-'Balance Sheet'!B40</f>
        <v>492.48000000000047</v>
      </c>
      <c r="D18" s="20">
        <f>'Balance Sheet'!D40-'Balance Sheet'!C40</f>
        <v>551.57759999999962</v>
      </c>
      <c r="E18" s="20">
        <f>'Balance Sheet'!E40-'Balance Sheet'!D40</f>
        <v>617.75999999999931</v>
      </c>
      <c r="F18" s="20">
        <f>'Balance Sheet'!F40-'Balance Sheet'!E40</f>
        <v>691.90560000000096</v>
      </c>
    </row>
    <row r="19" spans="1:7" outlineLevel="1" x14ac:dyDescent="0.2">
      <c r="A19" s="8" t="s">
        <v>140</v>
      </c>
      <c r="B19" s="22">
        <f>SUM(B8:B18)</f>
        <v>82506.040000000008</v>
      </c>
      <c r="C19" s="22">
        <f>SUM(C8:C18)</f>
        <v>74979.377599999993</v>
      </c>
      <c r="D19" s="22">
        <f>SUM(D8:D18)</f>
        <v>81262.926911999966</v>
      </c>
      <c r="E19" s="22">
        <f>SUM(E8:E18)</f>
        <v>88179.070656000011</v>
      </c>
      <c r="F19" s="22">
        <f>SUM(F8:F18)</f>
        <v>95497.066528000039</v>
      </c>
    </row>
    <row r="21" spans="1:7" x14ac:dyDescent="0.2">
      <c r="A21" s="5" t="s">
        <v>141</v>
      </c>
      <c r="B21" s="5"/>
      <c r="C21" s="5"/>
      <c r="D21" s="5"/>
      <c r="E21" s="5"/>
      <c r="F21" s="5"/>
      <c r="G21" s="5"/>
    </row>
    <row r="22" spans="1:7" x14ac:dyDescent="0.2">
      <c r="A22" s="6" t="s">
        <v>142</v>
      </c>
      <c r="B22" s="6"/>
      <c r="C22" s="6"/>
      <c r="D22" s="6"/>
      <c r="E22" s="6"/>
      <c r="F22" s="6"/>
      <c r="G22" s="6"/>
    </row>
    <row r="23" spans="1:7" outlineLevel="1" x14ac:dyDescent="0.2">
      <c r="A23" t="s">
        <v>143</v>
      </c>
      <c r="B23" s="25">
        <v>0</v>
      </c>
      <c r="C23" s="20">
        <f>-('Balance Sheet'!C25-'Balance Sheet'!B25)</f>
        <v>0</v>
      </c>
      <c r="D23" s="20">
        <f>-('Balance Sheet'!D25-'Balance Sheet'!C25)</f>
        <v>0</v>
      </c>
      <c r="E23" s="20">
        <f>-('Balance Sheet'!E25-'Balance Sheet'!D25)</f>
        <v>0</v>
      </c>
      <c r="F23" s="20">
        <f>-('Balance Sheet'!F25-'Balance Sheet'!E25)</f>
        <v>0</v>
      </c>
    </row>
    <row r="24" spans="1:7" outlineLevel="1" x14ac:dyDescent="0.2">
      <c r="A24" t="s">
        <v>144</v>
      </c>
      <c r="B24" s="25">
        <v>0</v>
      </c>
      <c r="C24" s="20">
        <f>-('Balance Sheet'!C26-'Balance Sheet'!B26)</f>
        <v>-4000</v>
      </c>
      <c r="D24" s="20">
        <f>-('Balance Sheet'!D26-'Balance Sheet'!C26)</f>
        <v>-4000</v>
      </c>
      <c r="E24" s="20">
        <f>-('Balance Sheet'!E26-'Balance Sheet'!D26)</f>
        <v>-4000</v>
      </c>
      <c r="F24" s="20">
        <f>-('Balance Sheet'!F26-'Balance Sheet'!E26)</f>
        <v>-4000</v>
      </c>
    </row>
    <row r="25" spans="1:7" outlineLevel="1" x14ac:dyDescent="0.2">
      <c r="A25" t="s">
        <v>145</v>
      </c>
      <c r="B25" s="25">
        <v>0</v>
      </c>
      <c r="C25" s="20">
        <f>-('Balance Sheet'!C27-'Balance Sheet'!B27)</f>
        <v>-6500</v>
      </c>
      <c r="D25" s="20">
        <f>-('Balance Sheet'!D27-'Balance Sheet'!C27)</f>
        <v>-6500</v>
      </c>
      <c r="E25" s="20">
        <f>-('Balance Sheet'!E27-'Balance Sheet'!D27)</f>
        <v>-7000</v>
      </c>
      <c r="F25" s="20">
        <f>-('Balance Sheet'!F27-'Balance Sheet'!E27)</f>
        <v>-7500</v>
      </c>
    </row>
    <row r="26" spans="1:7" outlineLevel="1" x14ac:dyDescent="0.2">
      <c r="A26" t="s">
        <v>146</v>
      </c>
      <c r="B26" s="25">
        <v>0</v>
      </c>
      <c r="C26" s="20">
        <f>-('Balance Sheet'!C28-'Balance Sheet'!B28)</f>
        <v>-2000</v>
      </c>
      <c r="D26" s="20">
        <f>-('Balance Sheet'!D28-'Balance Sheet'!C28)</f>
        <v>-2000</v>
      </c>
      <c r="E26" s="20">
        <f>-('Balance Sheet'!E28-'Balance Sheet'!D28)</f>
        <v>-2500</v>
      </c>
      <c r="F26" s="20">
        <f>-('Balance Sheet'!F28-'Balance Sheet'!E28)</f>
        <v>-2500</v>
      </c>
    </row>
    <row r="27" spans="1:7" x14ac:dyDescent="0.2">
      <c r="A27" s="8" t="s">
        <v>147</v>
      </c>
      <c r="B27" s="9">
        <f>SUM(B23:B26)</f>
        <v>0</v>
      </c>
      <c r="C27" s="9">
        <f>SUM(C23:C26)</f>
        <v>-12500</v>
      </c>
      <c r="D27" s="9">
        <f>SUM(D23:D26)</f>
        <v>-12500</v>
      </c>
      <c r="E27" s="9">
        <f>SUM(E23:E26)</f>
        <v>-13500</v>
      </c>
      <c r="F27" s="9">
        <f>SUM(F23:F26)</f>
        <v>-14000</v>
      </c>
    </row>
    <row r="28" spans="1:7" x14ac:dyDescent="0.2">
      <c r="A28" s="8" t="s">
        <v>148</v>
      </c>
      <c r="B28" s="21">
        <f>B27</f>
        <v>0</v>
      </c>
      <c r="C28" s="21">
        <f>C27</f>
        <v>-12500</v>
      </c>
      <c r="D28" s="21">
        <f>D27</f>
        <v>-12500</v>
      </c>
      <c r="E28" s="21">
        <f>E27</f>
        <v>-13500</v>
      </c>
      <c r="F28" s="21">
        <f>F27</f>
        <v>-14000</v>
      </c>
    </row>
    <row r="30" spans="1:7" x14ac:dyDescent="0.2">
      <c r="A30" s="5" t="s">
        <v>149</v>
      </c>
      <c r="B30" s="5"/>
      <c r="C30" s="5"/>
      <c r="D30" s="5"/>
      <c r="E30" s="5"/>
      <c r="F30" s="5"/>
      <c r="G30" s="5"/>
    </row>
    <row r="31" spans="1:7" x14ac:dyDescent="0.2">
      <c r="A31" t="s">
        <v>150</v>
      </c>
      <c r="B31" s="25">
        <v>0</v>
      </c>
      <c r="C31" s="20">
        <f>'Balance Sheet'!C44-'Balance Sheet'!B44</f>
        <v>-8000</v>
      </c>
      <c r="D31" s="20">
        <f>'Balance Sheet'!D44-'Balance Sheet'!C44</f>
        <v>-8000</v>
      </c>
      <c r="E31" s="20">
        <f>'Balance Sheet'!E44-'Balance Sheet'!D44</f>
        <v>-8000</v>
      </c>
      <c r="F31" s="20">
        <f>'Balance Sheet'!F44-'Balance Sheet'!E44</f>
        <v>-8000</v>
      </c>
    </row>
    <row r="32" spans="1:7" x14ac:dyDescent="0.2">
      <c r="A32" t="s">
        <v>151</v>
      </c>
      <c r="B32" s="25">
        <v>0</v>
      </c>
      <c r="C32" s="25">
        <v>0</v>
      </c>
      <c r="D32" s="25">
        <v>0</v>
      </c>
      <c r="E32" s="25">
        <v>0</v>
      </c>
      <c r="F32" s="25">
        <v>0</v>
      </c>
    </row>
    <row r="33" spans="1:6" x14ac:dyDescent="0.2">
      <c r="A33" s="8" t="s">
        <v>152</v>
      </c>
      <c r="B33" s="21">
        <f>SUM(B31:B32)</f>
        <v>0</v>
      </c>
      <c r="C33" s="21">
        <f>SUM(C31:C32)</f>
        <v>-8000</v>
      </c>
      <c r="D33" s="21">
        <f>SUM(D31:D32)</f>
        <v>-8000</v>
      </c>
      <c r="E33" s="21">
        <f>SUM(E31:E32)</f>
        <v>-8000</v>
      </c>
      <c r="F33" s="21">
        <f>SUM(F31:F32)</f>
        <v>-8000</v>
      </c>
    </row>
    <row r="35" spans="1:6" x14ac:dyDescent="0.2">
      <c r="A35" s="8" t="s">
        <v>153</v>
      </c>
      <c r="B35" s="14">
        <f>B19+B28+B33</f>
        <v>82506.040000000008</v>
      </c>
      <c r="C35" s="14">
        <f>C19+C28+C33</f>
        <v>54479.377599999993</v>
      </c>
      <c r="D35" s="14">
        <f>D19+D28+D33</f>
        <v>60762.926911999966</v>
      </c>
      <c r="E35" s="14">
        <f>E19+E28+E33</f>
        <v>66679.070656000011</v>
      </c>
      <c r="F35" s="14">
        <f>F19+F28+F33</f>
        <v>73497.066528000039</v>
      </c>
    </row>
    <row r="36" spans="1:6" x14ac:dyDescent="0.2">
      <c r="A36" t="s">
        <v>154</v>
      </c>
      <c r="B36" s="20">
        <f>'Balance Sheet'!B9</f>
        <v>28500</v>
      </c>
      <c r="C36" s="20">
        <f>'Cash Flow'!B37</f>
        <v>111006.04000000001</v>
      </c>
      <c r="D36" s="20">
        <f>'Cash Flow'!C37</f>
        <v>165485.41759999999</v>
      </c>
      <c r="E36" s="20">
        <f>'Cash Flow'!D37</f>
        <v>226248.34451199995</v>
      </c>
      <c r="F36" s="20">
        <f>'Cash Flow'!E37</f>
        <v>292927.41516799998</v>
      </c>
    </row>
    <row r="37" spans="1:6" ht="16" x14ac:dyDescent="0.2">
      <c r="A37" s="8" t="s">
        <v>155</v>
      </c>
      <c r="B37" s="15">
        <f>B36+B35</f>
        <v>111006.04000000001</v>
      </c>
      <c r="C37" s="15">
        <f>C36+C35</f>
        <v>165485.41759999999</v>
      </c>
      <c r="D37" s="15">
        <f>D36+D35</f>
        <v>226248.34451199995</v>
      </c>
      <c r="E37" s="15">
        <f>E36+E35</f>
        <v>292927.41516799998</v>
      </c>
      <c r="F37" s="15">
        <f>F36+F35</f>
        <v>366424.48169600003</v>
      </c>
    </row>
    <row r="39" spans="1:6" x14ac:dyDescent="0.2">
      <c r="A39" s="23" t="s">
        <v>156</v>
      </c>
      <c r="B39" s="24">
        <f>'Balance Sheet'!B9-B37</f>
        <v>-82506.040000000008</v>
      </c>
      <c r="C39" s="24">
        <f>'Balance Sheet'!C9-C37</f>
        <v>-130285.41759999999</v>
      </c>
      <c r="D39" s="24">
        <f>'Balance Sheet'!D9-D37</f>
        <v>-182148.34451199995</v>
      </c>
      <c r="E39" s="24">
        <f>'Balance Sheet'!E9-E37</f>
        <v>-238127.41516799998</v>
      </c>
      <c r="F39" s="24">
        <f>'Balance Sheet'!F9-F37</f>
        <v>-298024.48169600003</v>
      </c>
    </row>
  </sheetData>
  <mergeCells count="1">
    <mergeCell ref="A1:G1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Income Statement</vt:lpstr>
      <vt:lpstr>Balance Sheet</vt:lpstr>
      <vt:lpstr>Cash Flow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zach vorsteg</cp:lastModifiedBy>
  <cp:revision>0</cp:revision>
  <dcterms:created xsi:type="dcterms:W3CDTF">2025-11-21T05:52:18Z</dcterms:created>
  <dcterms:modified xsi:type="dcterms:W3CDTF">2025-11-21T14:24:12Z</dcterms:modified>
  <dc:language>en-US</dc:language>
</cp:coreProperties>
</file>